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yisraelharris/Desktop/בתים מניבים למכירה/"/>
    </mc:Choice>
  </mc:AlternateContent>
  <xr:revisionPtr revIDLastSave="0" documentId="13_ncr:1_{9B6CE89E-29A6-0D4A-94B9-DECE3FBFA33F}" xr6:coauthVersionLast="45" xr6:coauthVersionMax="45" xr10:uidLastSave="{00000000-0000-0000-0000-000000000000}"/>
  <workbookProtection workbookAlgorithmName="SHA-512" workbookHashValue="zDg1o1unae/kvTiapVWmkEyPqxQ3rr5iWj1W8tO7+sOBZtbm5HuHQMUQPrWxbBiTTHmJ06qxDSXlgnBkRGD3+Q==" workbookSaltValue="FHGaauZVQadfofq0WtrUAA==" workbookSpinCount="100000" lockStructure="1"/>
  <bookViews>
    <workbookView xWindow="280" yWindow="460" windowWidth="23360" windowHeight="16080" xr2:uid="{8DD5809B-12F2-7845-A31F-1E29052C5702}"/>
  </bookViews>
  <sheets>
    <sheet name="www.NadlanUSA.co.il" sheetId="2" r:id="rId1"/>
    <sheet name="Sheet1" sheetId="5" state="hidden" r:id="rId2"/>
    <sheet name="Proforma - 5 Year" sheetId="4" state="hidden" r:id="rId3"/>
    <sheet name="Auto Calc - Loan Acq" sheetId="3" state="hidden" r:id="rId4"/>
  </sheets>
  <externalReferences>
    <externalReference r:id="rId5"/>
  </externalReferences>
  <definedNames>
    <definedName name="_xlnm._FilterDatabase" localSheetId="0" hidden="1">'www.NadlanUSA.co.il'!$L$65:$L$67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I97" i="4" l="1"/>
  <c r="I96" i="4"/>
  <c r="I95" i="4"/>
  <c r="F23" i="2" l="1"/>
  <c r="L9" i="2" l="1"/>
  <c r="D12" i="4" l="1"/>
  <c r="D11" i="4" s="1"/>
  <c r="L4" i="3"/>
  <c r="D10" i="4"/>
  <c r="E10" i="4" s="1"/>
  <c r="F10" i="4" s="1"/>
  <c r="G10" i="4" s="1"/>
  <c r="H10" i="4" s="1"/>
  <c r="D9" i="4"/>
  <c r="E9" i="4" s="1"/>
  <c r="F9" i="4" s="1"/>
  <c r="G9" i="4" s="1"/>
  <c r="H9" i="4" s="1"/>
  <c r="B6" i="4"/>
  <c r="L5" i="3"/>
  <c r="E12" i="4" l="1"/>
  <c r="F12" i="4" s="1"/>
  <c r="G12" i="4" s="1"/>
  <c r="H12" i="4" s="1"/>
  <c r="H11" i="4" s="1"/>
  <c r="D14" i="4"/>
  <c r="E33" i="2"/>
  <c r="F27" i="2"/>
  <c r="E32" i="2"/>
  <c r="E31" i="2"/>
  <c r="E27" i="2" l="1"/>
  <c r="C29" i="4" s="1"/>
  <c r="E41" i="2" s="1"/>
  <c r="E43" i="2"/>
  <c r="F43" i="2" s="1"/>
  <c r="E14" i="4"/>
  <c r="F11" i="4"/>
  <c r="E11" i="4"/>
  <c r="G11" i="4"/>
  <c r="F41" i="2"/>
  <c r="D36" i="4"/>
  <c r="E36" i="4" s="1"/>
  <c r="F36" i="4" s="1"/>
  <c r="G36" i="4" s="1"/>
  <c r="C32" i="4"/>
  <c r="D32" i="4" s="1"/>
  <c r="E32" i="4" s="1"/>
  <c r="F32" i="4" s="1"/>
  <c r="G32" i="4" s="1"/>
  <c r="H32" i="4" s="1"/>
  <c r="C31" i="4"/>
  <c r="D31" i="4" s="1"/>
  <c r="E31" i="4" s="1"/>
  <c r="F31" i="4" s="1"/>
  <c r="G31" i="4" s="1"/>
  <c r="H31" i="4" s="1"/>
  <c r="C30" i="4"/>
  <c r="D30" i="4" s="1"/>
  <c r="E30" i="4" s="1"/>
  <c r="F30" i="4" s="1"/>
  <c r="G30" i="4" s="1"/>
  <c r="H30" i="4" s="1"/>
  <c r="D22" i="4"/>
  <c r="E22" i="4" s="1"/>
  <c r="F22" i="4" s="1"/>
  <c r="G22" i="4" s="1"/>
  <c r="H22" i="4" s="1"/>
  <c r="E5" i="4"/>
  <c r="C70" i="4" s="1"/>
  <c r="D70" i="4" s="1"/>
  <c r="A1" i="4"/>
  <c r="M45" i="4"/>
  <c r="L45" i="4"/>
  <c r="K45" i="4"/>
  <c r="J45" i="4"/>
  <c r="I45" i="4"/>
  <c r="H45" i="4"/>
  <c r="G45" i="4"/>
  <c r="F45" i="4"/>
  <c r="E45" i="4"/>
  <c r="D45" i="4"/>
  <c r="D44" i="4"/>
  <c r="D28" i="4"/>
  <c r="E28" i="4" s="1"/>
  <c r="F28" i="4" s="1"/>
  <c r="G28" i="4" s="1"/>
  <c r="H28" i="4" s="1"/>
  <c r="H14" i="4"/>
  <c r="G14" i="4"/>
  <c r="F14" i="4"/>
  <c r="E30" i="2" l="1"/>
  <c r="D29" i="4"/>
  <c r="E29" i="4" s="1"/>
  <c r="F29" i="4" s="1"/>
  <c r="G29" i="4" s="1"/>
  <c r="H29" i="4" s="1"/>
  <c r="E70" i="4"/>
  <c r="D88" i="4"/>
  <c r="D95" i="4" s="1"/>
  <c r="H5" i="4"/>
  <c r="F6" i="4"/>
  <c r="A70" i="4" s="1"/>
  <c r="A71" i="4" s="1"/>
  <c r="F30" i="2"/>
  <c r="E34" i="2"/>
  <c r="E37" i="2" s="1"/>
  <c r="E38" i="2" s="1"/>
  <c r="D46" i="4"/>
  <c r="E44" i="4" s="1"/>
  <c r="E46" i="4" s="1"/>
  <c r="F44" i="4" s="1"/>
  <c r="F46" i="4" s="1"/>
  <c r="G44" i="4" s="1"/>
  <c r="G46" i="4" s="1"/>
  <c r="H44" i="4" s="1"/>
  <c r="H46" i="4" s="1"/>
  <c r="I44" i="4" s="1"/>
  <c r="I46" i="4" s="1"/>
  <c r="J44" i="4" s="1"/>
  <c r="J46" i="4" s="1"/>
  <c r="K44" i="4" s="1"/>
  <c r="K46" i="4" s="1"/>
  <c r="L44" i="4" s="1"/>
  <c r="L46" i="4" s="1"/>
  <c r="M44" i="4" s="1"/>
  <c r="M46" i="4" s="1"/>
  <c r="F70" i="4" l="1"/>
  <c r="E88" i="4"/>
  <c r="E95" i="4" s="1"/>
  <c r="H6" i="4"/>
  <c r="C18" i="4"/>
  <c r="C19" i="4" s="1"/>
  <c r="E42" i="2" s="1"/>
  <c r="F42" i="2" s="1"/>
  <c r="O7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E44" i="2" l="1"/>
  <c r="K14" i="2" s="1"/>
  <c r="G70" i="4"/>
  <c r="F88" i="4"/>
  <c r="F95" i="4" s="1"/>
  <c r="C27" i="4"/>
  <c r="C12" i="4"/>
  <c r="C21" i="4"/>
  <c r="C23" i="4" s="1"/>
  <c r="D18" i="4"/>
  <c r="C13" i="4"/>
  <c r="L6" i="3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" i="3"/>
  <c r="F31" i="2"/>
  <c r="F32" i="2"/>
  <c r="F33" i="2"/>
  <c r="L6" i="2"/>
  <c r="H70" i="4" l="1"/>
  <c r="H88" i="4" s="1"/>
  <c r="G88" i="4"/>
  <c r="G95" i="4" s="1"/>
  <c r="L10" i="2"/>
  <c r="L8" i="2"/>
  <c r="D27" i="4"/>
  <c r="D19" i="4"/>
  <c r="C26" i="4"/>
  <c r="C34" i="4" s="1"/>
  <c r="D20" i="4"/>
  <c r="E18" i="4"/>
  <c r="E27" i="4" s="1"/>
  <c r="C39" i="3"/>
  <c r="F34" i="2"/>
  <c r="F37" i="2" s="1"/>
  <c r="F44" i="2" s="1"/>
  <c r="H95" i="4" l="1"/>
  <c r="L11" i="2"/>
  <c r="K8" i="2"/>
  <c r="K10" i="2" s="1"/>
  <c r="C35" i="4"/>
  <c r="C42" i="4" s="1"/>
  <c r="E19" i="4"/>
  <c r="E20" i="4"/>
  <c r="F18" i="4"/>
  <c r="F27" i="4" s="1"/>
  <c r="D21" i="4"/>
  <c r="D23" i="4" s="1"/>
  <c r="D24" i="4" s="1"/>
  <c r="C40" i="3"/>
  <c r="K11" i="2" l="1"/>
  <c r="L3" i="3" s="1"/>
  <c r="D330" i="3" s="1"/>
  <c r="G5" i="4"/>
  <c r="E21" i="4"/>
  <c r="E23" i="4" s="1"/>
  <c r="E24" i="4" s="1"/>
  <c r="D26" i="4"/>
  <c r="D34" i="4" s="1"/>
  <c r="F20" i="4"/>
  <c r="F19" i="4"/>
  <c r="G18" i="4"/>
  <c r="G27" i="4" s="1"/>
  <c r="L14" i="2"/>
  <c r="E45" i="2"/>
  <c r="C41" i="3"/>
  <c r="D311" i="3" l="1"/>
  <c r="D55" i="3"/>
  <c r="D270" i="3"/>
  <c r="D127" i="3"/>
  <c r="D317" i="3"/>
  <c r="D209" i="3"/>
  <c r="D112" i="3"/>
  <c r="D325" i="3"/>
  <c r="D333" i="3"/>
  <c r="D75" i="3"/>
  <c r="D76" i="3"/>
  <c r="D61" i="3"/>
  <c r="D46" i="3"/>
  <c r="D161" i="3"/>
  <c r="D29" i="3"/>
  <c r="F29" i="3" s="1"/>
  <c r="D232" i="3"/>
  <c r="D163" i="3"/>
  <c r="D26" i="3"/>
  <c r="F26" i="3" s="1"/>
  <c r="D97" i="3"/>
  <c r="D156" i="3"/>
  <c r="D335" i="3"/>
  <c r="D249" i="3"/>
  <c r="D207" i="3"/>
  <c r="D91" i="3"/>
  <c r="D258" i="3"/>
  <c r="D66" i="3"/>
  <c r="D339" i="3"/>
  <c r="D145" i="3"/>
  <c r="D199" i="3"/>
  <c r="D220" i="3"/>
  <c r="D256" i="3"/>
  <c r="D125" i="3"/>
  <c r="D312" i="3"/>
  <c r="D101" i="3"/>
  <c r="D361" i="3"/>
  <c r="D140" i="3"/>
  <c r="D340" i="3"/>
  <c r="D322" i="3"/>
  <c r="D291" i="3"/>
  <c r="D313" i="3"/>
  <c r="D180" i="3"/>
  <c r="D223" i="3"/>
  <c r="D83" i="3"/>
  <c r="D128" i="3"/>
  <c r="D254" i="3"/>
  <c r="D119" i="3"/>
  <c r="D198" i="3"/>
  <c r="D307" i="3"/>
  <c r="D8" i="3"/>
  <c r="E8" i="3" s="1"/>
  <c r="D341" i="3"/>
  <c r="D253" i="3"/>
  <c r="D87" i="3"/>
  <c r="D237" i="3"/>
  <c r="D34" i="3"/>
  <c r="E34" i="3" s="1"/>
  <c r="D314" i="3"/>
  <c r="D289" i="3"/>
  <c r="D355" i="3"/>
  <c r="D280" i="3"/>
  <c r="D73" i="3"/>
  <c r="D50" i="3"/>
  <c r="D89" i="3"/>
  <c r="D281" i="3"/>
  <c r="D59" i="3"/>
  <c r="D5" i="3"/>
  <c r="F5" i="3" s="1"/>
  <c r="D65" i="3"/>
  <c r="D37" i="3"/>
  <c r="E37" i="3" s="1"/>
  <c r="D328" i="3"/>
  <c r="D300" i="3"/>
  <c r="D240" i="3"/>
  <c r="D72" i="3"/>
  <c r="D193" i="3"/>
  <c r="D267" i="3"/>
  <c r="D150" i="3"/>
  <c r="D181" i="3"/>
  <c r="D252" i="3"/>
  <c r="D205" i="3"/>
  <c r="D276" i="3"/>
  <c r="D23" i="3"/>
  <c r="F23" i="3" s="1"/>
  <c r="D191" i="3"/>
  <c r="D28" i="3"/>
  <c r="E28" i="3" s="1"/>
  <c r="D293" i="3"/>
  <c r="D63" i="3"/>
  <c r="D47" i="3"/>
  <c r="D269" i="3"/>
  <c r="D57" i="3"/>
  <c r="D10" i="3"/>
  <c r="E10" i="3" s="1"/>
  <c r="D130" i="3"/>
  <c r="D86" i="3"/>
  <c r="D238" i="3"/>
  <c r="D104" i="3"/>
  <c r="D51" i="3"/>
  <c r="D272" i="3"/>
  <c r="D94" i="3"/>
  <c r="D343" i="3"/>
  <c r="D17" i="3"/>
  <c r="F17" i="3" s="1"/>
  <c r="D243" i="3"/>
  <c r="D212" i="3"/>
  <c r="D78" i="3"/>
  <c r="D309" i="3"/>
  <c r="D95" i="3"/>
  <c r="D24" i="3"/>
  <c r="F24" i="3" s="1"/>
  <c r="D348" i="3"/>
  <c r="D139" i="3"/>
  <c r="D318" i="3"/>
  <c r="D247" i="3"/>
  <c r="D200" i="3"/>
  <c r="D210" i="3"/>
  <c r="D305" i="3"/>
  <c r="D58" i="3"/>
  <c r="D228" i="3"/>
  <c r="D134" i="3"/>
  <c r="D285" i="3"/>
  <c r="D122" i="3"/>
  <c r="D197" i="3"/>
  <c r="D213" i="3"/>
  <c r="D169" i="3"/>
  <c r="D56" i="3"/>
  <c r="D214" i="3"/>
  <c r="D60" i="3"/>
  <c r="D48" i="3"/>
  <c r="D301" i="3"/>
  <c r="D148" i="3"/>
  <c r="D185" i="3"/>
  <c r="D360" i="3"/>
  <c r="D251" i="3"/>
  <c r="D165" i="3"/>
  <c r="D342" i="3"/>
  <c r="D157" i="3"/>
  <c r="D179" i="3"/>
  <c r="D337" i="3"/>
  <c r="D175" i="3"/>
  <c r="D244" i="3"/>
  <c r="D49" i="3"/>
  <c r="D69" i="3"/>
  <c r="D321" i="3"/>
  <c r="D159" i="3"/>
  <c r="D93" i="3"/>
  <c r="D62" i="3"/>
  <c r="D299" i="3"/>
  <c r="D22" i="3"/>
  <c r="F22" i="3" s="1"/>
  <c r="D222" i="3"/>
  <c r="D33" i="3"/>
  <c r="F33" i="3" s="1"/>
  <c r="D218" i="3"/>
  <c r="D80" i="3"/>
  <c r="D350" i="3"/>
  <c r="D359" i="3"/>
  <c r="D71" i="3"/>
  <c r="D278" i="3"/>
  <c r="D316" i="3"/>
  <c r="D90" i="3"/>
  <c r="D354" i="3"/>
  <c r="D133" i="3"/>
  <c r="D30" i="3"/>
  <c r="F30" i="3" s="1"/>
  <c r="D116" i="3"/>
  <c r="D292" i="3"/>
  <c r="D99" i="3"/>
  <c r="D231" i="3"/>
  <c r="D21" i="3"/>
  <c r="E21" i="3" s="1"/>
  <c r="D170" i="3"/>
  <c r="D192" i="3"/>
  <c r="D286" i="3"/>
  <c r="D188" i="3"/>
  <c r="D202" i="3"/>
  <c r="D295" i="3"/>
  <c r="D160" i="3"/>
  <c r="D306" i="3"/>
  <c r="D147" i="3"/>
  <c r="D227" i="3"/>
  <c r="D4" i="3"/>
  <c r="E4" i="3" s="1"/>
  <c r="D217" i="3"/>
  <c r="D168" i="3"/>
  <c r="D103" i="3"/>
  <c r="D204" i="3"/>
  <c r="D177" i="3"/>
  <c r="D245" i="3"/>
  <c r="D137" i="3"/>
  <c r="D11" i="3"/>
  <c r="E11" i="3" s="1"/>
  <c r="D271" i="3"/>
  <c r="D143" i="3"/>
  <c r="D264" i="3"/>
  <c r="D203" i="3"/>
  <c r="D120" i="3"/>
  <c r="D236" i="3"/>
  <c r="D154" i="3"/>
  <c r="D79" i="3"/>
  <c r="D6" i="3"/>
  <c r="F6" i="3" s="1"/>
  <c r="D268" i="3"/>
  <c r="D196" i="3"/>
  <c r="D353" i="3"/>
  <c r="D357" i="3"/>
  <c r="D20" i="3"/>
  <c r="F20" i="3" s="1"/>
  <c r="D303" i="3"/>
  <c r="D16" i="3"/>
  <c r="E16" i="3" s="1"/>
  <c r="D114" i="3"/>
  <c r="D3" i="3"/>
  <c r="E3" i="3" s="1"/>
  <c r="D282" i="3"/>
  <c r="D110" i="3"/>
  <c r="D146" i="3"/>
  <c r="D248" i="3"/>
  <c r="D100" i="3"/>
  <c r="D294" i="3"/>
  <c r="D344" i="3"/>
  <c r="D19" i="3"/>
  <c r="E19" i="3" s="1"/>
  <c r="D349" i="3"/>
  <c r="D108" i="3"/>
  <c r="D283" i="3"/>
  <c r="D109" i="3"/>
  <c r="D96" i="3"/>
  <c r="D234" i="3"/>
  <c r="D182" i="3"/>
  <c r="D113" i="3"/>
  <c r="D224" i="3"/>
  <c r="D315" i="3"/>
  <c r="D27" i="3"/>
  <c r="E27" i="3" s="1"/>
  <c r="D64" i="3"/>
  <c r="D235" i="3"/>
  <c r="D275" i="3"/>
  <c r="D162" i="3"/>
  <c r="D31" i="3"/>
  <c r="E31" i="3" s="1"/>
  <c r="D239" i="3"/>
  <c r="D221" i="3"/>
  <c r="D111" i="3"/>
  <c r="D186" i="3"/>
  <c r="D15" i="3"/>
  <c r="F15" i="3" s="1"/>
  <c r="D274" i="3"/>
  <c r="D172" i="3"/>
  <c r="D107" i="3"/>
  <c r="D262" i="3"/>
  <c r="D288" i="3"/>
  <c r="D290" i="3"/>
  <c r="D206" i="3"/>
  <c r="D138" i="3"/>
  <c r="D121" i="3"/>
  <c r="D279" i="3"/>
  <c r="D166" i="3"/>
  <c r="D153" i="3"/>
  <c r="D225" i="3"/>
  <c r="D184" i="3"/>
  <c r="D259" i="3"/>
  <c r="D230" i="3"/>
  <c r="D336" i="3"/>
  <c r="D158" i="3"/>
  <c r="D42" i="3"/>
  <c r="D194" i="3"/>
  <c r="D92" i="3"/>
  <c r="D13" i="3"/>
  <c r="F13" i="3" s="1"/>
  <c r="D178" i="3"/>
  <c r="D215" i="3"/>
  <c r="D246" i="3"/>
  <c r="D266" i="3"/>
  <c r="D102" i="3"/>
  <c r="D241" i="3"/>
  <c r="D131" i="3"/>
  <c r="D85" i="3"/>
  <c r="D320" i="3"/>
  <c r="D36" i="3"/>
  <c r="F36" i="3" s="1"/>
  <c r="D195" i="3"/>
  <c r="D135" i="3"/>
  <c r="D74" i="3"/>
  <c r="D84" i="3"/>
  <c r="D43" i="3"/>
  <c r="D229" i="3"/>
  <c r="D352" i="3"/>
  <c r="D38" i="3"/>
  <c r="E38" i="3" s="1"/>
  <c r="D277" i="3"/>
  <c r="D226" i="3"/>
  <c r="D297" i="3"/>
  <c r="D39" i="3"/>
  <c r="E39" i="3" s="1"/>
  <c r="D144" i="3"/>
  <c r="F27" i="3"/>
  <c r="G27" i="3" s="1"/>
  <c r="D115" i="3"/>
  <c r="D284" i="3"/>
  <c r="D219" i="3"/>
  <c r="D142" i="3"/>
  <c r="D331" i="3"/>
  <c r="D53" i="3"/>
  <c r="D118" i="3"/>
  <c r="D302" i="3"/>
  <c r="D304" i="3"/>
  <c r="D152" i="3"/>
  <c r="D208" i="3"/>
  <c r="D7" i="3"/>
  <c r="F7" i="3" s="1"/>
  <c r="D77" i="3"/>
  <c r="D25" i="3"/>
  <c r="E25" i="3" s="1"/>
  <c r="D255" i="3"/>
  <c r="D32" i="3"/>
  <c r="F32" i="3" s="1"/>
  <c r="D362" i="3"/>
  <c r="D310" i="3"/>
  <c r="D106" i="3"/>
  <c r="D12" i="3"/>
  <c r="E12" i="3" s="1"/>
  <c r="D201" i="3"/>
  <c r="D126" i="3"/>
  <c r="D82" i="3"/>
  <c r="D242" i="3"/>
  <c r="D326" i="3"/>
  <c r="D338" i="3"/>
  <c r="D70" i="3"/>
  <c r="D257" i="3"/>
  <c r="D81" i="3"/>
  <c r="D334" i="3"/>
  <c r="D298" i="3"/>
  <c r="D14" i="3"/>
  <c r="E14" i="3" s="1"/>
  <c r="D250" i="3"/>
  <c r="D171" i="3"/>
  <c r="D346" i="3"/>
  <c r="D351" i="3"/>
  <c r="D18" i="3"/>
  <c r="F18" i="3" s="1"/>
  <c r="D347" i="3"/>
  <c r="D265" i="3"/>
  <c r="D356" i="3"/>
  <c r="D173" i="3"/>
  <c r="D358" i="3"/>
  <c r="D132" i="3"/>
  <c r="D263" i="3"/>
  <c r="D324" i="3"/>
  <c r="D260" i="3"/>
  <c r="D287" i="3"/>
  <c r="D296" i="3"/>
  <c r="D136" i="3"/>
  <c r="D329" i="3"/>
  <c r="D98" i="3"/>
  <c r="D151" i="3"/>
  <c r="D105" i="3"/>
  <c r="D187" i="3"/>
  <c r="D124" i="3"/>
  <c r="D129" i="3"/>
  <c r="D88" i="3"/>
  <c r="D68" i="3"/>
  <c r="D41" i="3"/>
  <c r="F41" i="3" s="1"/>
  <c r="D174" i="3"/>
  <c r="D149" i="3"/>
  <c r="D332" i="3"/>
  <c r="D216" i="3"/>
  <c r="D327" i="3"/>
  <c r="D308" i="3"/>
  <c r="D52" i="3"/>
  <c r="C50" i="4"/>
  <c r="C71" i="4" s="1"/>
  <c r="D35" i="3"/>
  <c r="F35" i="3" s="1"/>
  <c r="D9" i="3"/>
  <c r="F9" i="3" s="1"/>
  <c r="D190" i="3"/>
  <c r="D155" i="3"/>
  <c r="D117" i="3"/>
  <c r="D233" i="3"/>
  <c r="D40" i="3"/>
  <c r="E40" i="3" s="1"/>
  <c r="D261" i="3"/>
  <c r="D44" i="3"/>
  <c r="D176" i="3"/>
  <c r="D189" i="3"/>
  <c r="D45" i="3"/>
  <c r="D183" i="3"/>
  <c r="D67" i="3"/>
  <c r="D141" i="3"/>
  <c r="D323" i="3"/>
  <c r="D54" i="3"/>
  <c r="D319" i="3"/>
  <c r="D273" i="3"/>
  <c r="D345" i="3"/>
  <c r="D164" i="3"/>
  <c r="D123" i="3"/>
  <c r="D211" i="3"/>
  <c r="D167" i="3"/>
  <c r="E26" i="3"/>
  <c r="G26" i="3" s="1"/>
  <c r="J18" i="4"/>
  <c r="K18" i="4" s="1"/>
  <c r="F21" i="4"/>
  <c r="F23" i="4" s="1"/>
  <c r="F24" i="4" s="1"/>
  <c r="D35" i="4"/>
  <c r="E26" i="4"/>
  <c r="G20" i="4"/>
  <c r="G19" i="4"/>
  <c r="J19" i="4" s="1"/>
  <c r="K19" i="4" s="1"/>
  <c r="H18" i="4"/>
  <c r="H27" i="4" s="1"/>
  <c r="C42" i="3"/>
  <c r="C52" i="4" l="1"/>
  <c r="C82" i="4"/>
  <c r="E24" i="3"/>
  <c r="G24" i="3" s="1"/>
  <c r="F34" i="3"/>
  <c r="G34" i="3" s="1"/>
  <c r="F37" i="3"/>
  <c r="G37" i="3" s="1"/>
  <c r="F8" i="3"/>
  <c r="G8" i="3" s="1"/>
  <c r="F28" i="3"/>
  <c r="G28" i="3" s="1"/>
  <c r="E5" i="3"/>
  <c r="G5" i="3" s="1"/>
  <c r="F19" i="3"/>
  <c r="G19" i="3" s="1"/>
  <c r="E29" i="3"/>
  <c r="G29" i="3" s="1"/>
  <c r="F3" i="3"/>
  <c r="G3" i="3" s="1"/>
  <c r="L15" i="2" s="1"/>
  <c r="K15" i="2" s="1"/>
  <c r="H4" i="3"/>
  <c r="E22" i="3"/>
  <c r="G22" i="3" s="1"/>
  <c r="E17" i="3"/>
  <c r="G17" i="3" s="1"/>
  <c r="E15" i="3"/>
  <c r="G15" i="3" s="1"/>
  <c r="E6" i="3"/>
  <c r="G6" i="3" s="1"/>
  <c r="F10" i="3"/>
  <c r="G10" i="3" s="1"/>
  <c r="E30" i="3"/>
  <c r="G30" i="3" s="1"/>
  <c r="E23" i="3"/>
  <c r="G23" i="3" s="1"/>
  <c r="F21" i="3"/>
  <c r="G21" i="3" s="1"/>
  <c r="F11" i="3"/>
  <c r="G11" i="3" s="1"/>
  <c r="H3" i="3"/>
  <c r="E33" i="3"/>
  <c r="G33" i="3" s="1"/>
  <c r="F4" i="3"/>
  <c r="G4" i="3" s="1"/>
  <c r="E20" i="3"/>
  <c r="G20" i="3" s="1"/>
  <c r="F38" i="3"/>
  <c r="G38" i="3" s="1"/>
  <c r="F16" i="3"/>
  <c r="G16" i="3" s="1"/>
  <c r="E9" i="3"/>
  <c r="C53" i="4"/>
  <c r="D53" i="4" s="1"/>
  <c r="E53" i="4" s="1"/>
  <c r="F53" i="4" s="1"/>
  <c r="G53" i="4" s="1"/>
  <c r="H53" i="4" s="1"/>
  <c r="B60" i="4" s="1"/>
  <c r="K34" i="2" s="1"/>
  <c r="F31" i="3"/>
  <c r="G31" i="3" s="1"/>
  <c r="F14" i="3"/>
  <c r="G14" i="3" s="1"/>
  <c r="E13" i="3"/>
  <c r="G13" i="3" s="1"/>
  <c r="E41" i="3"/>
  <c r="G41" i="3" s="1"/>
  <c r="E32" i="3"/>
  <c r="G32" i="3" s="1"/>
  <c r="E7" i="3"/>
  <c r="G7" i="3" s="1"/>
  <c r="F12" i="3"/>
  <c r="G12" i="3" s="1"/>
  <c r="F39" i="3"/>
  <c r="G39" i="3" s="1"/>
  <c r="E36" i="3"/>
  <c r="G36" i="3" s="1"/>
  <c r="E18" i="3"/>
  <c r="G18" i="3" s="1"/>
  <c r="F25" i="3"/>
  <c r="G25" i="3" s="1"/>
  <c r="E35" i="3"/>
  <c r="G35" i="3" s="1"/>
  <c r="F40" i="3"/>
  <c r="G40" i="3" s="1"/>
  <c r="D37" i="4"/>
  <c r="K20" i="4"/>
  <c r="K21" i="4" s="1"/>
  <c r="D42" i="4"/>
  <c r="F26" i="4"/>
  <c r="F34" i="4" s="1"/>
  <c r="F35" i="4" s="1"/>
  <c r="F37" i="4" s="1"/>
  <c r="J20" i="4"/>
  <c r="J21" i="4" s="1"/>
  <c r="G21" i="4"/>
  <c r="G23" i="4" s="1"/>
  <c r="G26" i="4" s="1"/>
  <c r="G34" i="4" s="1"/>
  <c r="E34" i="4"/>
  <c r="H19" i="4"/>
  <c r="H20" i="4"/>
  <c r="E42" i="3"/>
  <c r="F42" i="3"/>
  <c r="C43" i="3"/>
  <c r="H5" i="3" l="1"/>
  <c r="L16" i="2"/>
  <c r="H9" i="3"/>
  <c r="G9" i="3"/>
  <c r="L14" i="3" s="1"/>
  <c r="C38" i="4" s="1"/>
  <c r="H26" i="3"/>
  <c r="H6" i="3"/>
  <c r="H23" i="3"/>
  <c r="H24" i="3"/>
  <c r="H17" i="3"/>
  <c r="H34" i="3"/>
  <c r="H14" i="3"/>
  <c r="H13" i="3"/>
  <c r="H36" i="3"/>
  <c r="H39" i="3"/>
  <c r="H18" i="3"/>
  <c r="H16" i="3"/>
  <c r="K14" i="3"/>
  <c r="K18" i="2" s="1"/>
  <c r="L18" i="2" s="1"/>
  <c r="H38" i="3"/>
  <c r="K26" i="3"/>
  <c r="H20" i="3"/>
  <c r="H21" i="3"/>
  <c r="H12" i="3"/>
  <c r="H7" i="3"/>
  <c r="H37" i="3"/>
  <c r="H31" i="3"/>
  <c r="H8" i="3"/>
  <c r="L38" i="3"/>
  <c r="E38" i="4" s="1"/>
  <c r="H33" i="3"/>
  <c r="H32" i="3"/>
  <c r="H28" i="3"/>
  <c r="H22" i="3"/>
  <c r="H29" i="3"/>
  <c r="H10" i="3"/>
  <c r="H11" i="3"/>
  <c r="H15" i="3"/>
  <c r="L26" i="3"/>
  <c r="D38" i="4" s="1"/>
  <c r="D39" i="4" s="1"/>
  <c r="E89" i="4" s="1"/>
  <c r="H25" i="3"/>
  <c r="H27" i="3"/>
  <c r="H19" i="3"/>
  <c r="H30" i="3"/>
  <c r="H41" i="3"/>
  <c r="H35" i="3"/>
  <c r="K38" i="3"/>
  <c r="F56" i="4" s="1"/>
  <c r="H40" i="3"/>
  <c r="J34" i="4"/>
  <c r="F42" i="4"/>
  <c r="G24" i="4"/>
  <c r="G35" i="4"/>
  <c r="G37" i="4" s="1"/>
  <c r="E35" i="4"/>
  <c r="H21" i="4"/>
  <c r="H23" i="4" s="1"/>
  <c r="F43" i="3"/>
  <c r="E43" i="3"/>
  <c r="C44" i="3"/>
  <c r="G42" i="3"/>
  <c r="H42" i="3"/>
  <c r="F74" i="4" l="1"/>
  <c r="F90" i="4"/>
  <c r="E51" i="4"/>
  <c r="E54" i="4" s="1"/>
  <c r="E73" i="4"/>
  <c r="L19" i="2"/>
  <c r="D56" i="4"/>
  <c r="E56" i="4"/>
  <c r="D40" i="4"/>
  <c r="K16" i="2"/>
  <c r="K17" i="2" s="1"/>
  <c r="E37" i="4"/>
  <c r="E40" i="4" s="1"/>
  <c r="J35" i="4"/>
  <c r="K35" i="4" s="1"/>
  <c r="J33" i="4"/>
  <c r="K34" i="4"/>
  <c r="G42" i="4"/>
  <c r="E42" i="4"/>
  <c r="H26" i="4"/>
  <c r="H34" i="4" s="1"/>
  <c r="H24" i="4"/>
  <c r="G43" i="3"/>
  <c r="H43" i="3"/>
  <c r="F44" i="3"/>
  <c r="E44" i="3"/>
  <c r="C45" i="3"/>
  <c r="E74" i="4" l="1"/>
  <c r="E84" i="4" s="1"/>
  <c r="E90" i="4"/>
  <c r="D74" i="4"/>
  <c r="D71" i="4" s="1"/>
  <c r="D90" i="4"/>
  <c r="D97" i="4" s="1"/>
  <c r="E52" i="4"/>
  <c r="K19" i="2"/>
  <c r="K20" i="2" s="1"/>
  <c r="E57" i="4"/>
  <c r="E39" i="4"/>
  <c r="F89" i="4" s="1"/>
  <c r="H35" i="4"/>
  <c r="G6" i="4" s="1"/>
  <c r="G44" i="3"/>
  <c r="H44" i="3"/>
  <c r="F45" i="3"/>
  <c r="E45" i="3"/>
  <c r="C46" i="3"/>
  <c r="E71" i="4" l="1"/>
  <c r="F71" i="4" s="1"/>
  <c r="E97" i="4"/>
  <c r="F97" i="4" s="1"/>
  <c r="D76" i="4"/>
  <c r="E76" i="4" s="1"/>
  <c r="F76" i="4" s="1"/>
  <c r="F51" i="4"/>
  <c r="F54" i="4" s="1"/>
  <c r="F73" i="4"/>
  <c r="F84" i="4" s="1"/>
  <c r="E46" i="3"/>
  <c r="F46" i="3"/>
  <c r="C47" i="3"/>
  <c r="G45" i="3"/>
  <c r="H45" i="3"/>
  <c r="F57" i="4" l="1"/>
  <c r="F52" i="4"/>
  <c r="F47" i="3"/>
  <c r="E47" i="3"/>
  <c r="C48" i="3"/>
  <c r="G46" i="3"/>
  <c r="H46" i="3"/>
  <c r="G47" i="3" l="1"/>
  <c r="H47" i="3"/>
  <c r="F48" i="3"/>
  <c r="E48" i="3"/>
  <c r="C49" i="3"/>
  <c r="F49" i="3" l="1"/>
  <c r="E49" i="3"/>
  <c r="C50" i="3"/>
  <c r="G48" i="3"/>
  <c r="H48" i="3"/>
  <c r="E50" i="3" l="1"/>
  <c r="F50" i="3"/>
  <c r="C51" i="3"/>
  <c r="G49" i="3"/>
  <c r="H49" i="3"/>
  <c r="E51" i="3" l="1"/>
  <c r="F51" i="3"/>
  <c r="C52" i="3"/>
  <c r="G50" i="3"/>
  <c r="L50" i="3" s="1"/>
  <c r="F38" i="4" s="1"/>
  <c r="H50" i="3"/>
  <c r="K50" i="3"/>
  <c r="F39" i="4" l="1"/>
  <c r="G89" i="4" s="1"/>
  <c r="F40" i="4"/>
  <c r="G56" i="4"/>
  <c r="E52" i="3"/>
  <c r="F52" i="3"/>
  <c r="C53" i="3"/>
  <c r="G51" i="3"/>
  <c r="H51" i="3"/>
  <c r="G74" i="4" l="1"/>
  <c r="G71" i="4" s="1"/>
  <c r="G90" i="4"/>
  <c r="G97" i="4" s="1"/>
  <c r="G51" i="4"/>
  <c r="G52" i="4" s="1"/>
  <c r="G73" i="4"/>
  <c r="F53" i="3"/>
  <c r="E53" i="3"/>
  <c r="C54" i="3"/>
  <c r="G52" i="3"/>
  <c r="H52" i="3"/>
  <c r="G84" i="4" l="1"/>
  <c r="G76" i="4"/>
  <c r="C93" i="4"/>
  <c r="G57" i="4"/>
  <c r="G54" i="4"/>
  <c r="F54" i="3"/>
  <c r="E54" i="3"/>
  <c r="C55" i="3"/>
  <c r="G53" i="3"/>
  <c r="H53" i="3"/>
  <c r="F55" i="3" l="1"/>
  <c r="E55" i="3"/>
  <c r="C56" i="3"/>
  <c r="G54" i="3"/>
  <c r="H54" i="3"/>
  <c r="G55" i="3" l="1"/>
  <c r="H55" i="3"/>
  <c r="F56" i="3"/>
  <c r="E56" i="3"/>
  <c r="C57" i="3"/>
  <c r="G56" i="3" l="1"/>
  <c r="H56" i="3"/>
  <c r="F57" i="3"/>
  <c r="E57" i="3"/>
  <c r="C58" i="3"/>
  <c r="F58" i="3" l="1"/>
  <c r="E58" i="3"/>
  <c r="C59" i="3"/>
  <c r="G57" i="3"/>
  <c r="H57" i="3"/>
  <c r="F59" i="3" l="1"/>
  <c r="E59" i="3"/>
  <c r="C60" i="3"/>
  <c r="G58" i="3"/>
  <c r="H58" i="3"/>
  <c r="E60" i="3" l="1"/>
  <c r="F60" i="3"/>
  <c r="C61" i="3"/>
  <c r="G59" i="3"/>
  <c r="H59" i="3"/>
  <c r="F61" i="3" l="1"/>
  <c r="E61" i="3"/>
  <c r="C62" i="3"/>
  <c r="G60" i="3"/>
  <c r="H60" i="3"/>
  <c r="F62" i="3" l="1"/>
  <c r="E62" i="3"/>
  <c r="C63" i="3"/>
  <c r="G61" i="3"/>
  <c r="H61" i="3"/>
  <c r="F63" i="3" l="1"/>
  <c r="E63" i="3"/>
  <c r="C64" i="3"/>
  <c r="G62" i="3"/>
  <c r="L62" i="3" s="1"/>
  <c r="G38" i="4" s="1"/>
  <c r="H62" i="3"/>
  <c r="A72" i="4" s="1"/>
  <c r="A73" i="4" s="1"/>
  <c r="H80" i="4" s="1"/>
  <c r="K62" i="3"/>
  <c r="H56" i="4" s="1"/>
  <c r="H74" i="4" l="1"/>
  <c r="H71" i="4" s="1"/>
  <c r="H90" i="4"/>
  <c r="H97" i="4" s="1"/>
  <c r="G39" i="4"/>
  <c r="H89" i="4" s="1"/>
  <c r="G40" i="4"/>
  <c r="F64" i="3"/>
  <c r="E64" i="3"/>
  <c r="C65" i="3"/>
  <c r="G63" i="3"/>
  <c r="H63" i="3"/>
  <c r="H76" i="4" l="1"/>
  <c r="H73" i="4"/>
  <c r="H84" i="4" s="1"/>
  <c r="H51" i="4"/>
  <c r="H54" i="4" s="1"/>
  <c r="F61" i="4"/>
  <c r="H57" i="4"/>
  <c r="F65" i="3"/>
  <c r="E65" i="3"/>
  <c r="C66" i="3"/>
  <c r="G64" i="3"/>
  <c r="H64" i="3"/>
  <c r="H52" i="4" l="1"/>
  <c r="K44" i="2"/>
  <c r="F60" i="4"/>
  <c r="G65" i="3"/>
  <c r="H65" i="3"/>
  <c r="F66" i="3"/>
  <c r="E66" i="3"/>
  <c r="C67" i="3"/>
  <c r="K43" i="2" l="1"/>
  <c r="G66" i="3"/>
  <c r="H66" i="3"/>
  <c r="F67" i="3"/>
  <c r="E67" i="3"/>
  <c r="C68" i="3"/>
  <c r="G67" i="3" l="1"/>
  <c r="H67" i="3"/>
  <c r="F68" i="3"/>
  <c r="E68" i="3"/>
  <c r="C69" i="3"/>
  <c r="E69" i="3" l="1"/>
  <c r="F69" i="3"/>
  <c r="C70" i="3"/>
  <c r="G68" i="3"/>
  <c r="H68" i="3"/>
  <c r="E70" i="3" l="1"/>
  <c r="F70" i="3"/>
  <c r="C71" i="3"/>
  <c r="G69" i="3"/>
  <c r="H69" i="3"/>
  <c r="F71" i="3" l="1"/>
  <c r="E71" i="3"/>
  <c r="C72" i="3"/>
  <c r="G70" i="3"/>
  <c r="H70" i="3"/>
  <c r="G71" i="3" l="1"/>
  <c r="H71" i="3"/>
  <c r="F72" i="3"/>
  <c r="E72" i="3"/>
  <c r="C73" i="3"/>
  <c r="F73" i="3" l="1"/>
  <c r="E73" i="3"/>
  <c r="C74" i="3"/>
  <c r="G72" i="3"/>
  <c r="H72" i="3"/>
  <c r="G73" i="3" l="1"/>
  <c r="H73" i="3"/>
  <c r="F74" i="3"/>
  <c r="E74" i="3"/>
  <c r="C75" i="3"/>
  <c r="F75" i="3" l="1"/>
  <c r="E75" i="3"/>
  <c r="C76" i="3"/>
  <c r="G74" i="3"/>
  <c r="L74" i="3" s="1"/>
  <c r="H74" i="3"/>
  <c r="K74" i="3"/>
  <c r="G75" i="3" l="1"/>
  <c r="H75" i="3"/>
  <c r="F76" i="3"/>
  <c r="E76" i="3"/>
  <c r="C77" i="3"/>
  <c r="F77" i="3" l="1"/>
  <c r="E77" i="3"/>
  <c r="C78" i="3"/>
  <c r="G76" i="3"/>
  <c r="H76" i="3"/>
  <c r="G77" i="3" l="1"/>
  <c r="H77" i="3"/>
  <c r="F78" i="3"/>
  <c r="E78" i="3"/>
  <c r="C79" i="3"/>
  <c r="F79" i="3" l="1"/>
  <c r="E79" i="3"/>
  <c r="C80" i="3"/>
  <c r="G78" i="3"/>
  <c r="H78" i="3"/>
  <c r="G79" i="3" l="1"/>
  <c r="H79" i="3"/>
  <c r="E80" i="3"/>
  <c r="F80" i="3"/>
  <c r="C81" i="3"/>
  <c r="F81" i="3" l="1"/>
  <c r="E81" i="3"/>
  <c r="C82" i="3"/>
  <c r="G80" i="3"/>
  <c r="H80" i="3"/>
  <c r="G81" i="3" l="1"/>
  <c r="H81" i="3"/>
  <c r="F82" i="3"/>
  <c r="E82" i="3"/>
  <c r="C83" i="3"/>
  <c r="F83" i="3" l="1"/>
  <c r="E83" i="3"/>
  <c r="C84" i="3"/>
  <c r="G82" i="3"/>
  <c r="H82" i="3"/>
  <c r="G83" i="3" l="1"/>
  <c r="H83" i="3"/>
  <c r="F84" i="3"/>
  <c r="E84" i="3"/>
  <c r="C85" i="3"/>
  <c r="F85" i="3" l="1"/>
  <c r="E85" i="3"/>
  <c r="C86" i="3"/>
  <c r="G84" i="3"/>
  <c r="H84" i="3"/>
  <c r="F86" i="3" l="1"/>
  <c r="E86" i="3"/>
  <c r="C87" i="3"/>
  <c r="G85" i="3"/>
  <c r="H85" i="3"/>
  <c r="G86" i="3" l="1"/>
  <c r="H86" i="3"/>
  <c r="E87" i="3"/>
  <c r="F87" i="3"/>
  <c r="C88" i="3"/>
  <c r="E88" i="3" l="1"/>
  <c r="F88" i="3"/>
  <c r="C89" i="3"/>
  <c r="G87" i="3"/>
  <c r="H87" i="3"/>
  <c r="F89" i="3" l="1"/>
  <c r="E89" i="3"/>
  <c r="C90" i="3"/>
  <c r="G88" i="3"/>
  <c r="H88" i="3"/>
  <c r="G89" i="3" l="1"/>
  <c r="H89" i="3"/>
  <c r="F90" i="3"/>
  <c r="E90" i="3"/>
  <c r="C91" i="3"/>
  <c r="F91" i="3" l="1"/>
  <c r="E91" i="3"/>
  <c r="C92" i="3"/>
  <c r="G90" i="3"/>
  <c r="H90" i="3"/>
  <c r="G91" i="3" l="1"/>
  <c r="H91" i="3"/>
  <c r="F92" i="3"/>
  <c r="E92" i="3"/>
  <c r="C93" i="3"/>
  <c r="F93" i="3" l="1"/>
  <c r="E93" i="3"/>
  <c r="C94" i="3"/>
  <c r="G92" i="3"/>
  <c r="H92" i="3"/>
  <c r="G93" i="3" l="1"/>
  <c r="H93" i="3"/>
  <c r="F94" i="3"/>
  <c r="E94" i="3"/>
  <c r="C95" i="3"/>
  <c r="F95" i="3" l="1"/>
  <c r="E95" i="3"/>
  <c r="C96" i="3"/>
  <c r="G94" i="3"/>
  <c r="H94" i="3"/>
  <c r="G95" i="3" l="1"/>
  <c r="H95" i="3"/>
  <c r="E96" i="3"/>
  <c r="F96" i="3"/>
  <c r="C97" i="3"/>
  <c r="G96" i="3" l="1"/>
  <c r="H96" i="3"/>
  <c r="F97" i="3"/>
  <c r="E97" i="3"/>
  <c r="C98" i="3"/>
  <c r="G97" i="3" l="1"/>
  <c r="H97" i="3"/>
  <c r="F98" i="3"/>
  <c r="E98" i="3"/>
  <c r="C99" i="3"/>
  <c r="G98" i="3" l="1"/>
  <c r="H98" i="3"/>
  <c r="F99" i="3"/>
  <c r="E99" i="3"/>
  <c r="C100" i="3"/>
  <c r="F100" i="3" l="1"/>
  <c r="E100" i="3"/>
  <c r="C101" i="3"/>
  <c r="G99" i="3"/>
  <c r="H99" i="3"/>
  <c r="G100" i="3" l="1"/>
  <c r="H100" i="3"/>
  <c r="F101" i="3"/>
  <c r="E101" i="3"/>
  <c r="C102" i="3"/>
  <c r="E102" i="3" l="1"/>
  <c r="F102" i="3"/>
  <c r="C103" i="3"/>
  <c r="G101" i="3"/>
  <c r="H101" i="3"/>
  <c r="F103" i="3" l="1"/>
  <c r="E103" i="3"/>
  <c r="C104" i="3"/>
  <c r="G102" i="3"/>
  <c r="H102" i="3"/>
  <c r="G103" i="3" l="1"/>
  <c r="H103" i="3"/>
  <c r="F104" i="3"/>
  <c r="E104" i="3"/>
  <c r="C105" i="3"/>
  <c r="F105" i="3" l="1"/>
  <c r="E105" i="3"/>
  <c r="C106" i="3"/>
  <c r="G104" i="3"/>
  <c r="H104" i="3"/>
  <c r="G105" i="3" l="1"/>
  <c r="H105" i="3"/>
  <c r="E106" i="3"/>
  <c r="F106" i="3"/>
  <c r="C107" i="3"/>
  <c r="F107" i="3" l="1"/>
  <c r="E107" i="3"/>
  <c r="C108" i="3"/>
  <c r="G106" i="3"/>
  <c r="H106" i="3"/>
  <c r="G107" i="3" l="1"/>
  <c r="H107" i="3"/>
  <c r="F108" i="3"/>
  <c r="E108" i="3"/>
  <c r="C109" i="3"/>
  <c r="F109" i="3" l="1"/>
  <c r="E109" i="3"/>
  <c r="C110" i="3"/>
  <c r="G108" i="3"/>
  <c r="H108" i="3"/>
  <c r="E110" i="3" l="1"/>
  <c r="F110" i="3"/>
  <c r="C111" i="3"/>
  <c r="G109" i="3"/>
  <c r="H109" i="3"/>
  <c r="F111" i="3" l="1"/>
  <c r="E111" i="3"/>
  <c r="C112" i="3"/>
  <c r="G110" i="3"/>
  <c r="H110" i="3"/>
  <c r="G111" i="3" l="1"/>
  <c r="H111" i="3"/>
  <c r="F112" i="3"/>
  <c r="E112" i="3"/>
  <c r="C113" i="3"/>
  <c r="E113" i="3" l="1"/>
  <c r="F113" i="3"/>
  <c r="C114" i="3"/>
  <c r="G112" i="3"/>
  <c r="H112" i="3"/>
  <c r="F114" i="3" l="1"/>
  <c r="E114" i="3"/>
  <c r="C115" i="3"/>
  <c r="G113" i="3"/>
  <c r="H113" i="3"/>
  <c r="G114" i="3" l="1"/>
  <c r="H114" i="3"/>
  <c r="F115" i="3"/>
  <c r="E115" i="3"/>
  <c r="C116" i="3"/>
  <c r="F116" i="3" l="1"/>
  <c r="E116" i="3"/>
  <c r="C117" i="3"/>
  <c r="G115" i="3"/>
  <c r="H115" i="3"/>
  <c r="G116" i="3" l="1"/>
  <c r="H116" i="3"/>
  <c r="F117" i="3"/>
  <c r="E117" i="3"/>
  <c r="C118" i="3"/>
  <c r="E118" i="3" l="1"/>
  <c r="F118" i="3"/>
  <c r="C119" i="3"/>
  <c r="G117" i="3"/>
  <c r="H117" i="3"/>
  <c r="F119" i="3" l="1"/>
  <c r="E119" i="3"/>
  <c r="C120" i="3"/>
  <c r="G118" i="3"/>
  <c r="H118" i="3"/>
  <c r="E120" i="3" l="1"/>
  <c r="F120" i="3"/>
  <c r="C121" i="3"/>
  <c r="G119" i="3"/>
  <c r="H119" i="3"/>
  <c r="F121" i="3" l="1"/>
  <c r="E121" i="3"/>
  <c r="C122" i="3"/>
  <c r="G120" i="3"/>
  <c r="H120" i="3"/>
  <c r="G121" i="3" l="1"/>
  <c r="H121" i="3"/>
  <c r="F122" i="3"/>
  <c r="E122" i="3"/>
  <c r="C123" i="3"/>
  <c r="F123" i="3" l="1"/>
  <c r="E123" i="3"/>
  <c r="C124" i="3"/>
  <c r="G122" i="3"/>
  <c r="H122" i="3"/>
  <c r="G123" i="3" l="1"/>
  <c r="H123" i="3"/>
  <c r="F124" i="3"/>
  <c r="E124" i="3"/>
  <c r="C125" i="3"/>
  <c r="F125" i="3" l="1"/>
  <c r="E125" i="3"/>
  <c r="C126" i="3"/>
  <c r="G124" i="3"/>
  <c r="H124" i="3"/>
  <c r="G125" i="3" l="1"/>
  <c r="H125" i="3"/>
  <c r="E126" i="3"/>
  <c r="F126" i="3"/>
  <c r="C127" i="3"/>
  <c r="F127" i="3" l="1"/>
  <c r="E127" i="3"/>
  <c r="C128" i="3"/>
  <c r="G126" i="3"/>
  <c r="H126" i="3"/>
  <c r="G127" i="3" l="1"/>
  <c r="H127" i="3"/>
  <c r="E128" i="3"/>
  <c r="F128" i="3"/>
  <c r="C129" i="3"/>
  <c r="F129" i="3" l="1"/>
  <c r="E129" i="3"/>
  <c r="C130" i="3"/>
  <c r="G128" i="3"/>
  <c r="H128" i="3"/>
  <c r="F130" i="3" l="1"/>
  <c r="E130" i="3"/>
  <c r="C131" i="3"/>
  <c r="G129" i="3"/>
  <c r="H129" i="3"/>
  <c r="F131" i="3" l="1"/>
  <c r="E131" i="3"/>
  <c r="C132" i="3"/>
  <c r="G130" i="3"/>
  <c r="H130" i="3"/>
  <c r="G131" i="3" l="1"/>
  <c r="H131" i="3"/>
  <c r="F132" i="3"/>
  <c r="E132" i="3"/>
  <c r="C133" i="3"/>
  <c r="F133" i="3" l="1"/>
  <c r="E133" i="3"/>
  <c r="C134" i="3"/>
  <c r="G132" i="3"/>
  <c r="H132" i="3"/>
  <c r="G133" i="3" l="1"/>
  <c r="H133" i="3"/>
  <c r="E134" i="3"/>
  <c r="F134" i="3"/>
  <c r="C135" i="3"/>
  <c r="F135" i="3" l="1"/>
  <c r="E135" i="3"/>
  <c r="C136" i="3"/>
  <c r="G134" i="3"/>
  <c r="H134" i="3"/>
  <c r="G135" i="3" l="1"/>
  <c r="H135" i="3"/>
  <c r="E136" i="3"/>
  <c r="F136" i="3"/>
  <c r="C137" i="3"/>
  <c r="F137" i="3" l="1"/>
  <c r="E137" i="3"/>
  <c r="C138" i="3"/>
  <c r="G136" i="3"/>
  <c r="H136" i="3"/>
  <c r="G137" i="3" l="1"/>
  <c r="H137" i="3"/>
  <c r="F138" i="3"/>
  <c r="E138" i="3"/>
  <c r="C139" i="3"/>
  <c r="G138" i="3" l="1"/>
  <c r="H138" i="3"/>
  <c r="F139" i="3"/>
  <c r="E139" i="3"/>
  <c r="C140" i="3"/>
  <c r="F140" i="3" l="1"/>
  <c r="E140" i="3"/>
  <c r="C141" i="3"/>
  <c r="G139" i="3"/>
  <c r="H139" i="3"/>
  <c r="G140" i="3" l="1"/>
  <c r="H140" i="3"/>
  <c r="F141" i="3"/>
  <c r="E141" i="3"/>
  <c r="C142" i="3"/>
  <c r="E142" i="3" l="1"/>
  <c r="F142" i="3"/>
  <c r="C143" i="3"/>
  <c r="G141" i="3"/>
  <c r="H141" i="3"/>
  <c r="F143" i="3" l="1"/>
  <c r="E143" i="3"/>
  <c r="C144" i="3"/>
  <c r="G142" i="3"/>
  <c r="H142" i="3"/>
  <c r="G143" i="3" l="1"/>
  <c r="H143" i="3"/>
  <c r="E144" i="3"/>
  <c r="F144" i="3"/>
  <c r="C145" i="3"/>
  <c r="F145" i="3" l="1"/>
  <c r="E145" i="3"/>
  <c r="C146" i="3"/>
  <c r="G144" i="3"/>
  <c r="H144" i="3"/>
  <c r="G145" i="3" l="1"/>
  <c r="H145" i="3"/>
  <c r="F146" i="3"/>
  <c r="E146" i="3"/>
  <c r="C147" i="3"/>
  <c r="F147" i="3" l="1"/>
  <c r="E147" i="3"/>
  <c r="C148" i="3"/>
  <c r="G146" i="3"/>
  <c r="H146" i="3"/>
  <c r="F148" i="3" l="1"/>
  <c r="E148" i="3"/>
  <c r="C149" i="3"/>
  <c r="G147" i="3"/>
  <c r="H147" i="3"/>
  <c r="G148" i="3" l="1"/>
  <c r="H148" i="3"/>
  <c r="F149" i="3"/>
  <c r="E149" i="3"/>
  <c r="C150" i="3"/>
  <c r="E150" i="3" l="1"/>
  <c r="F150" i="3"/>
  <c r="C151" i="3"/>
  <c r="G149" i="3"/>
  <c r="H149" i="3"/>
  <c r="F151" i="3" l="1"/>
  <c r="E151" i="3"/>
  <c r="C152" i="3"/>
  <c r="G150" i="3"/>
  <c r="H150" i="3"/>
  <c r="G151" i="3" l="1"/>
  <c r="H151" i="3"/>
  <c r="E152" i="3"/>
  <c r="F152" i="3"/>
  <c r="C153" i="3"/>
  <c r="F153" i="3" l="1"/>
  <c r="E153" i="3"/>
  <c r="C154" i="3"/>
  <c r="G152" i="3"/>
  <c r="H152" i="3"/>
  <c r="G153" i="3" l="1"/>
  <c r="H153" i="3"/>
  <c r="F154" i="3"/>
  <c r="E154" i="3"/>
  <c r="C155" i="3"/>
  <c r="G154" i="3" l="1"/>
  <c r="H154" i="3"/>
  <c r="F155" i="3"/>
  <c r="E155" i="3"/>
  <c r="C156" i="3"/>
  <c r="G155" i="3" l="1"/>
  <c r="H155" i="3"/>
  <c r="F156" i="3"/>
  <c r="E156" i="3"/>
  <c r="C157" i="3"/>
  <c r="F157" i="3" l="1"/>
  <c r="E157" i="3"/>
  <c r="C158" i="3"/>
  <c r="G156" i="3"/>
  <c r="H156" i="3"/>
  <c r="G157" i="3" l="1"/>
  <c r="H157" i="3"/>
  <c r="E158" i="3"/>
  <c r="F158" i="3"/>
  <c r="C159" i="3"/>
  <c r="E159" i="3" l="1"/>
  <c r="F159" i="3"/>
  <c r="C160" i="3"/>
  <c r="G158" i="3"/>
  <c r="H158" i="3"/>
  <c r="E160" i="3" l="1"/>
  <c r="F160" i="3"/>
  <c r="C161" i="3"/>
  <c r="G159" i="3"/>
  <c r="H159" i="3"/>
  <c r="F161" i="3" l="1"/>
  <c r="E161" i="3"/>
  <c r="C162" i="3"/>
  <c r="G160" i="3"/>
  <c r="H160" i="3"/>
  <c r="G161" i="3" l="1"/>
  <c r="H161" i="3"/>
  <c r="E162" i="3"/>
  <c r="F162" i="3"/>
  <c r="C163" i="3"/>
  <c r="G162" i="3" l="1"/>
  <c r="H162" i="3"/>
  <c r="E163" i="3"/>
  <c r="F163" i="3"/>
  <c r="C164" i="3"/>
  <c r="F164" i="3" l="1"/>
  <c r="E164" i="3"/>
  <c r="C165" i="3"/>
  <c r="G163" i="3"/>
  <c r="H163" i="3"/>
  <c r="G164" i="3" l="1"/>
  <c r="H164" i="3"/>
  <c r="E165" i="3"/>
  <c r="F165" i="3"/>
  <c r="C166" i="3"/>
  <c r="G165" i="3" l="1"/>
  <c r="H165" i="3"/>
  <c r="F166" i="3"/>
  <c r="E166" i="3"/>
  <c r="C167" i="3"/>
  <c r="E167" i="3" l="1"/>
  <c r="F167" i="3"/>
  <c r="C168" i="3"/>
  <c r="G166" i="3"/>
  <c r="H166" i="3"/>
  <c r="E168" i="3" l="1"/>
  <c r="F168" i="3"/>
  <c r="C169" i="3"/>
  <c r="G167" i="3"/>
  <c r="H167" i="3"/>
  <c r="F169" i="3" l="1"/>
  <c r="E169" i="3"/>
  <c r="C170" i="3"/>
  <c r="G168" i="3"/>
  <c r="H168" i="3"/>
  <c r="G169" i="3" l="1"/>
  <c r="H169" i="3"/>
  <c r="E170" i="3"/>
  <c r="F170" i="3"/>
  <c r="C171" i="3"/>
  <c r="E171" i="3" l="1"/>
  <c r="F171" i="3"/>
  <c r="C172" i="3"/>
  <c r="G170" i="3"/>
  <c r="H170" i="3"/>
  <c r="F172" i="3" l="1"/>
  <c r="E172" i="3"/>
  <c r="C173" i="3"/>
  <c r="G171" i="3"/>
  <c r="H171" i="3"/>
  <c r="G172" i="3" l="1"/>
  <c r="H172" i="3"/>
  <c r="E173" i="3"/>
  <c r="F173" i="3"/>
  <c r="C174" i="3"/>
  <c r="F174" i="3" l="1"/>
  <c r="E174" i="3"/>
  <c r="C175" i="3"/>
  <c r="G173" i="3"/>
  <c r="H173" i="3"/>
  <c r="G174" i="3" l="1"/>
  <c r="H174" i="3"/>
  <c r="F175" i="3"/>
  <c r="E175" i="3"/>
  <c r="C176" i="3"/>
  <c r="E176" i="3" l="1"/>
  <c r="F176" i="3"/>
  <c r="C177" i="3"/>
  <c r="G175" i="3"/>
  <c r="H175" i="3"/>
  <c r="F177" i="3" l="1"/>
  <c r="E177" i="3"/>
  <c r="C178" i="3"/>
  <c r="G176" i="3"/>
  <c r="H176" i="3"/>
  <c r="G177" i="3" l="1"/>
  <c r="H177" i="3"/>
  <c r="F178" i="3"/>
  <c r="E178" i="3"/>
  <c r="C179" i="3"/>
  <c r="G178" i="3" l="1"/>
  <c r="H178" i="3"/>
  <c r="E179" i="3"/>
  <c r="F179" i="3"/>
  <c r="C180" i="3"/>
  <c r="G179" i="3" l="1"/>
  <c r="H179" i="3"/>
  <c r="F180" i="3"/>
  <c r="E180" i="3"/>
  <c r="C181" i="3"/>
  <c r="F181" i="3" l="1"/>
  <c r="E181" i="3"/>
  <c r="C182" i="3"/>
  <c r="G180" i="3"/>
  <c r="H180" i="3"/>
  <c r="G181" i="3" l="1"/>
  <c r="H181" i="3"/>
  <c r="F182" i="3"/>
  <c r="E182" i="3"/>
  <c r="C183" i="3"/>
  <c r="E183" i="3" l="1"/>
  <c r="F183" i="3"/>
  <c r="C184" i="3"/>
  <c r="G182" i="3"/>
  <c r="H182" i="3"/>
  <c r="F184" i="3" l="1"/>
  <c r="E184" i="3"/>
  <c r="C185" i="3"/>
  <c r="G183" i="3"/>
  <c r="H183" i="3"/>
  <c r="G184" i="3" l="1"/>
  <c r="H184" i="3"/>
  <c r="F185" i="3"/>
  <c r="E185" i="3"/>
  <c r="C186" i="3"/>
  <c r="G185" i="3" l="1"/>
  <c r="H185" i="3"/>
  <c r="E186" i="3"/>
  <c r="F186" i="3"/>
  <c r="C187" i="3"/>
  <c r="E187" i="3" l="1"/>
  <c r="F187" i="3"/>
  <c r="C188" i="3"/>
  <c r="G186" i="3"/>
  <c r="H186" i="3"/>
  <c r="F188" i="3" l="1"/>
  <c r="E188" i="3"/>
  <c r="C189" i="3"/>
  <c r="G187" i="3"/>
  <c r="H187" i="3"/>
  <c r="G188" i="3" l="1"/>
  <c r="H188" i="3"/>
  <c r="F189" i="3"/>
  <c r="E189" i="3"/>
  <c r="C190" i="3"/>
  <c r="G189" i="3" l="1"/>
  <c r="H189" i="3"/>
  <c r="F190" i="3"/>
  <c r="E190" i="3"/>
  <c r="C191" i="3"/>
  <c r="E191" i="3" l="1"/>
  <c r="F191" i="3"/>
  <c r="C192" i="3"/>
  <c r="G190" i="3"/>
  <c r="H190" i="3"/>
  <c r="F192" i="3" l="1"/>
  <c r="E192" i="3"/>
  <c r="C193" i="3"/>
  <c r="G191" i="3"/>
  <c r="H191" i="3"/>
  <c r="G192" i="3" l="1"/>
  <c r="H192" i="3"/>
  <c r="F193" i="3"/>
  <c r="E193" i="3"/>
  <c r="C194" i="3"/>
  <c r="F194" i="3" l="1"/>
  <c r="E194" i="3"/>
  <c r="C195" i="3"/>
  <c r="G193" i="3"/>
  <c r="H193" i="3"/>
  <c r="G194" i="3" l="1"/>
  <c r="H194" i="3"/>
  <c r="E195" i="3"/>
  <c r="F195" i="3"/>
  <c r="C196" i="3"/>
  <c r="F196" i="3" l="1"/>
  <c r="E196" i="3"/>
  <c r="C197" i="3"/>
  <c r="G195" i="3"/>
  <c r="H195" i="3"/>
  <c r="G196" i="3" l="1"/>
  <c r="H196" i="3"/>
  <c r="F197" i="3"/>
  <c r="E197" i="3"/>
  <c r="C198" i="3"/>
  <c r="F198" i="3" l="1"/>
  <c r="E198" i="3"/>
  <c r="C199" i="3"/>
  <c r="G197" i="3"/>
  <c r="H197" i="3"/>
  <c r="G198" i="3" l="1"/>
  <c r="H198" i="3"/>
  <c r="E199" i="3"/>
  <c r="F199" i="3"/>
  <c r="C200" i="3"/>
  <c r="F200" i="3" l="1"/>
  <c r="E200" i="3"/>
  <c r="C201" i="3"/>
  <c r="G199" i="3"/>
  <c r="H199" i="3"/>
  <c r="G200" i="3" l="1"/>
  <c r="H200" i="3"/>
  <c r="F201" i="3"/>
  <c r="E201" i="3"/>
  <c r="C202" i="3"/>
  <c r="G201" i="3" l="1"/>
  <c r="H201" i="3"/>
  <c r="F202" i="3"/>
  <c r="E202" i="3"/>
  <c r="C203" i="3"/>
  <c r="G202" i="3" l="1"/>
  <c r="H202" i="3"/>
  <c r="E203" i="3"/>
  <c r="F203" i="3"/>
  <c r="C204" i="3"/>
  <c r="F204" i="3" l="1"/>
  <c r="E204" i="3"/>
  <c r="C205" i="3"/>
  <c r="G203" i="3"/>
  <c r="H203" i="3"/>
  <c r="G204" i="3" l="1"/>
  <c r="H204" i="3"/>
  <c r="F205" i="3"/>
  <c r="E205" i="3"/>
  <c r="C206" i="3"/>
  <c r="G205" i="3" l="1"/>
  <c r="H205" i="3"/>
  <c r="E206" i="3"/>
  <c r="F206" i="3"/>
  <c r="C207" i="3"/>
  <c r="F207" i="3" l="1"/>
  <c r="E207" i="3"/>
  <c r="C208" i="3"/>
  <c r="G206" i="3"/>
  <c r="H206" i="3"/>
  <c r="G207" i="3" l="1"/>
  <c r="H207" i="3"/>
  <c r="F208" i="3"/>
  <c r="E208" i="3"/>
  <c r="C209" i="3"/>
  <c r="G208" i="3" l="1"/>
  <c r="H208" i="3"/>
  <c r="F209" i="3"/>
  <c r="E209" i="3"/>
  <c r="C210" i="3"/>
  <c r="F210" i="3" l="1"/>
  <c r="E210" i="3"/>
  <c r="C211" i="3"/>
  <c r="G209" i="3"/>
  <c r="H209" i="3"/>
  <c r="G210" i="3" l="1"/>
  <c r="H210" i="3"/>
  <c r="E211" i="3"/>
  <c r="F211" i="3"/>
  <c r="C212" i="3"/>
  <c r="E212" i="3" l="1"/>
  <c r="F212" i="3"/>
  <c r="C213" i="3"/>
  <c r="G211" i="3"/>
  <c r="H211" i="3"/>
  <c r="F213" i="3" l="1"/>
  <c r="E213" i="3"/>
  <c r="C214" i="3"/>
  <c r="G212" i="3"/>
  <c r="H212" i="3"/>
  <c r="G213" i="3" l="1"/>
  <c r="H213" i="3"/>
  <c r="E214" i="3"/>
  <c r="F214" i="3"/>
  <c r="C215" i="3"/>
  <c r="F215" i="3" l="1"/>
  <c r="E215" i="3"/>
  <c r="C216" i="3"/>
  <c r="G214" i="3"/>
  <c r="H214" i="3"/>
  <c r="G215" i="3" l="1"/>
  <c r="H215" i="3"/>
  <c r="F216" i="3"/>
  <c r="E216" i="3"/>
  <c r="C217" i="3"/>
  <c r="G216" i="3" l="1"/>
  <c r="H216" i="3"/>
  <c r="F217" i="3"/>
  <c r="E217" i="3"/>
  <c r="C218" i="3"/>
  <c r="G217" i="3" l="1"/>
  <c r="H217" i="3"/>
  <c r="E218" i="3"/>
  <c r="F218" i="3"/>
  <c r="C219" i="3"/>
  <c r="F219" i="3" l="1"/>
  <c r="E219" i="3"/>
  <c r="C220" i="3"/>
  <c r="G218" i="3"/>
  <c r="H218" i="3"/>
  <c r="G219" i="3" l="1"/>
  <c r="H219" i="3"/>
  <c r="E220" i="3"/>
  <c r="F220" i="3"/>
  <c r="C221" i="3"/>
  <c r="F221" i="3" l="1"/>
  <c r="E221" i="3"/>
  <c r="C222" i="3"/>
  <c r="G220" i="3"/>
  <c r="H220" i="3"/>
  <c r="G221" i="3" l="1"/>
  <c r="H221" i="3"/>
  <c r="F222" i="3"/>
  <c r="E222" i="3"/>
  <c r="C223" i="3"/>
  <c r="G222" i="3" l="1"/>
  <c r="H222" i="3"/>
  <c r="F223" i="3"/>
  <c r="E223" i="3"/>
  <c r="C224" i="3"/>
  <c r="G223" i="3" l="1"/>
  <c r="H223" i="3"/>
  <c r="F224" i="3"/>
  <c r="E224" i="3"/>
  <c r="C225" i="3"/>
  <c r="G224" i="3" l="1"/>
  <c r="H224" i="3"/>
  <c r="F225" i="3"/>
  <c r="E225" i="3"/>
  <c r="C226" i="3"/>
  <c r="G225" i="3" l="1"/>
  <c r="H225" i="3"/>
  <c r="E226" i="3"/>
  <c r="F226" i="3"/>
  <c r="C227" i="3"/>
  <c r="F227" i="3" l="1"/>
  <c r="E227" i="3"/>
  <c r="C228" i="3"/>
  <c r="G226" i="3"/>
  <c r="H226" i="3"/>
  <c r="G227" i="3" l="1"/>
  <c r="H227" i="3"/>
  <c r="E228" i="3"/>
  <c r="F228" i="3"/>
  <c r="C229" i="3"/>
  <c r="F229" i="3" l="1"/>
  <c r="E229" i="3"/>
  <c r="C230" i="3"/>
  <c r="G228" i="3"/>
  <c r="H228" i="3"/>
  <c r="G229" i="3" l="1"/>
  <c r="H229" i="3"/>
  <c r="F230" i="3"/>
  <c r="E230" i="3"/>
  <c r="C231" i="3"/>
  <c r="F231" i="3" l="1"/>
  <c r="E231" i="3"/>
  <c r="C232" i="3"/>
  <c r="G230" i="3"/>
  <c r="H230" i="3"/>
  <c r="G231" i="3" l="1"/>
  <c r="H231" i="3"/>
  <c r="F232" i="3"/>
  <c r="E232" i="3"/>
  <c r="C233" i="3"/>
  <c r="G232" i="3" l="1"/>
  <c r="H232" i="3"/>
  <c r="F233" i="3"/>
  <c r="E233" i="3"/>
  <c r="C234" i="3"/>
  <c r="G233" i="3" l="1"/>
  <c r="H233" i="3"/>
  <c r="E234" i="3"/>
  <c r="F234" i="3"/>
  <c r="C235" i="3"/>
  <c r="F235" i="3" l="1"/>
  <c r="E235" i="3"/>
  <c r="C236" i="3"/>
  <c r="G234" i="3"/>
  <c r="H234" i="3"/>
  <c r="G235" i="3" l="1"/>
  <c r="H235" i="3"/>
  <c r="E236" i="3"/>
  <c r="F236" i="3"/>
  <c r="C237" i="3"/>
  <c r="F237" i="3" l="1"/>
  <c r="E237" i="3"/>
  <c r="C238" i="3"/>
  <c r="G236" i="3"/>
  <c r="H236" i="3"/>
  <c r="G237" i="3" l="1"/>
  <c r="H237" i="3"/>
  <c r="F238" i="3"/>
  <c r="E238" i="3"/>
  <c r="C239" i="3"/>
  <c r="G238" i="3" l="1"/>
  <c r="H238" i="3"/>
  <c r="F239" i="3"/>
  <c r="E239" i="3"/>
  <c r="C240" i="3"/>
  <c r="F240" i="3" l="1"/>
  <c r="E240" i="3"/>
  <c r="C241" i="3"/>
  <c r="G239" i="3"/>
  <c r="H239" i="3"/>
  <c r="G240" i="3" l="1"/>
  <c r="H240" i="3"/>
  <c r="F241" i="3"/>
  <c r="E241" i="3"/>
  <c r="C242" i="3"/>
  <c r="G241" i="3" l="1"/>
  <c r="H241" i="3"/>
  <c r="E242" i="3"/>
  <c r="F242" i="3"/>
  <c r="C243" i="3"/>
  <c r="F243" i="3" l="1"/>
  <c r="E243" i="3"/>
  <c r="C244" i="3"/>
  <c r="G242" i="3"/>
  <c r="H242" i="3"/>
  <c r="G243" i="3" l="1"/>
  <c r="H243" i="3"/>
  <c r="E244" i="3"/>
  <c r="F244" i="3"/>
  <c r="C245" i="3"/>
  <c r="F245" i="3" l="1"/>
  <c r="E245" i="3"/>
  <c r="C246" i="3"/>
  <c r="G244" i="3"/>
  <c r="H244" i="3"/>
  <c r="G245" i="3" l="1"/>
  <c r="H245" i="3"/>
  <c r="F246" i="3"/>
  <c r="E246" i="3"/>
  <c r="C247" i="3"/>
  <c r="F247" i="3" l="1"/>
  <c r="E247" i="3"/>
  <c r="C248" i="3"/>
  <c r="G246" i="3"/>
  <c r="H246" i="3"/>
  <c r="G247" i="3" l="1"/>
  <c r="H247" i="3"/>
  <c r="F248" i="3"/>
  <c r="E248" i="3"/>
  <c r="C249" i="3"/>
  <c r="G248" i="3" l="1"/>
  <c r="H248" i="3"/>
  <c r="F249" i="3"/>
  <c r="E249" i="3"/>
  <c r="C250" i="3"/>
  <c r="G249" i="3" l="1"/>
  <c r="H249" i="3"/>
  <c r="E250" i="3"/>
  <c r="F250" i="3"/>
  <c r="C251" i="3"/>
  <c r="F251" i="3" l="1"/>
  <c r="E251" i="3"/>
  <c r="C252" i="3"/>
  <c r="G250" i="3"/>
  <c r="H250" i="3"/>
  <c r="G251" i="3" l="1"/>
  <c r="H251" i="3"/>
  <c r="E252" i="3"/>
  <c r="F252" i="3"/>
  <c r="C253" i="3"/>
  <c r="F253" i="3" l="1"/>
  <c r="E253" i="3"/>
  <c r="C254" i="3"/>
  <c r="G252" i="3"/>
  <c r="H252" i="3"/>
  <c r="G253" i="3" l="1"/>
  <c r="H253" i="3"/>
  <c r="F254" i="3"/>
  <c r="E254" i="3"/>
  <c r="C255" i="3"/>
  <c r="F255" i="3" l="1"/>
  <c r="E255" i="3"/>
  <c r="C256" i="3"/>
  <c r="G254" i="3"/>
  <c r="H254" i="3"/>
  <c r="G255" i="3" l="1"/>
  <c r="H255" i="3"/>
  <c r="F256" i="3"/>
  <c r="E256" i="3"/>
  <c r="C257" i="3"/>
  <c r="E257" i="3" l="1"/>
  <c r="F257" i="3"/>
  <c r="C258" i="3"/>
  <c r="G256" i="3"/>
  <c r="H256" i="3"/>
  <c r="E258" i="3" l="1"/>
  <c r="F258" i="3"/>
  <c r="C259" i="3"/>
  <c r="G257" i="3"/>
  <c r="H257" i="3"/>
  <c r="F259" i="3" l="1"/>
  <c r="E259" i="3"/>
  <c r="C260" i="3"/>
  <c r="G258" i="3"/>
  <c r="H258" i="3"/>
  <c r="G259" i="3" l="1"/>
  <c r="H259" i="3"/>
  <c r="E260" i="3"/>
  <c r="F260" i="3"/>
  <c r="C261" i="3"/>
  <c r="F261" i="3" l="1"/>
  <c r="E261" i="3"/>
  <c r="C262" i="3"/>
  <c r="G260" i="3"/>
  <c r="H260" i="3"/>
  <c r="F262" i="3" l="1"/>
  <c r="E262" i="3"/>
  <c r="C263" i="3"/>
  <c r="G261" i="3"/>
  <c r="H261" i="3"/>
  <c r="G262" i="3" l="1"/>
  <c r="H262" i="3"/>
  <c r="F263" i="3"/>
  <c r="E263" i="3"/>
  <c r="C264" i="3"/>
  <c r="G263" i="3" l="1"/>
  <c r="H263" i="3"/>
  <c r="F264" i="3"/>
  <c r="E264" i="3"/>
  <c r="C265" i="3"/>
  <c r="F265" i="3" l="1"/>
  <c r="E265" i="3"/>
  <c r="C266" i="3"/>
  <c r="G264" i="3"/>
  <c r="H264" i="3"/>
  <c r="G265" i="3" l="1"/>
  <c r="H265" i="3"/>
  <c r="E266" i="3"/>
  <c r="F266" i="3"/>
  <c r="C267" i="3"/>
  <c r="F267" i="3" l="1"/>
  <c r="E267" i="3"/>
  <c r="C268" i="3"/>
  <c r="G266" i="3"/>
  <c r="H266" i="3"/>
  <c r="G267" i="3" l="1"/>
  <c r="H267" i="3"/>
  <c r="F268" i="3"/>
  <c r="E268" i="3"/>
  <c r="C269" i="3"/>
  <c r="G268" i="3" l="1"/>
  <c r="H268" i="3"/>
  <c r="F269" i="3"/>
  <c r="E269" i="3"/>
  <c r="C270" i="3"/>
  <c r="E270" i="3" l="1"/>
  <c r="F270" i="3"/>
  <c r="C271" i="3"/>
  <c r="G269" i="3"/>
  <c r="H269" i="3"/>
  <c r="E271" i="3" l="1"/>
  <c r="F271" i="3"/>
  <c r="C272" i="3"/>
  <c r="G270" i="3"/>
  <c r="H270" i="3"/>
  <c r="F272" i="3" l="1"/>
  <c r="E272" i="3"/>
  <c r="C273" i="3"/>
  <c r="G271" i="3"/>
  <c r="H271" i="3"/>
  <c r="G272" i="3" l="1"/>
  <c r="H272" i="3"/>
  <c r="E273" i="3"/>
  <c r="F273" i="3"/>
  <c r="C274" i="3"/>
  <c r="F274" i="3" l="1"/>
  <c r="E274" i="3"/>
  <c r="C275" i="3"/>
  <c r="G273" i="3"/>
  <c r="H273" i="3"/>
  <c r="G274" i="3" l="1"/>
  <c r="H274" i="3"/>
  <c r="F275" i="3"/>
  <c r="E275" i="3"/>
  <c r="C276" i="3"/>
  <c r="G275" i="3" l="1"/>
  <c r="H275" i="3"/>
  <c r="F276" i="3"/>
  <c r="E276" i="3"/>
  <c r="C277" i="3"/>
  <c r="G276" i="3" l="1"/>
  <c r="H276" i="3"/>
  <c r="F277" i="3"/>
  <c r="E277" i="3"/>
  <c r="C278" i="3"/>
  <c r="G277" i="3" l="1"/>
  <c r="H277" i="3"/>
  <c r="F278" i="3"/>
  <c r="E278" i="3"/>
  <c r="C279" i="3"/>
  <c r="G278" i="3" l="1"/>
  <c r="H278" i="3"/>
  <c r="E279" i="3"/>
  <c r="F279" i="3"/>
  <c r="C280" i="3"/>
  <c r="F280" i="3" l="1"/>
  <c r="E280" i="3"/>
  <c r="C281" i="3"/>
  <c r="G279" i="3"/>
  <c r="H279" i="3"/>
  <c r="G280" i="3" l="1"/>
  <c r="H280" i="3"/>
  <c r="E281" i="3"/>
  <c r="F281" i="3"/>
  <c r="C282" i="3"/>
  <c r="F282" i="3" l="1"/>
  <c r="E282" i="3"/>
  <c r="C283" i="3"/>
  <c r="G281" i="3"/>
  <c r="H281" i="3"/>
  <c r="G282" i="3" l="1"/>
  <c r="H282" i="3"/>
  <c r="F283" i="3"/>
  <c r="E283" i="3"/>
  <c r="C284" i="3"/>
  <c r="G283" i="3" l="1"/>
  <c r="H283" i="3"/>
  <c r="F284" i="3"/>
  <c r="E284" i="3"/>
  <c r="C285" i="3"/>
  <c r="F285" i="3" l="1"/>
  <c r="E285" i="3"/>
  <c r="C286" i="3"/>
  <c r="G284" i="3"/>
  <c r="H284" i="3"/>
  <c r="G285" i="3" l="1"/>
  <c r="H285" i="3"/>
  <c r="E286" i="3"/>
  <c r="F286" i="3"/>
  <c r="C287" i="3"/>
  <c r="E287" i="3" l="1"/>
  <c r="F287" i="3"/>
  <c r="C288" i="3"/>
  <c r="G286" i="3"/>
  <c r="H286" i="3"/>
  <c r="F288" i="3" l="1"/>
  <c r="E288" i="3"/>
  <c r="C289" i="3"/>
  <c r="G287" i="3"/>
  <c r="H287" i="3"/>
  <c r="G288" i="3" l="1"/>
  <c r="H288" i="3"/>
  <c r="E289" i="3"/>
  <c r="F289" i="3"/>
  <c r="C290" i="3"/>
  <c r="F290" i="3" l="1"/>
  <c r="E290" i="3"/>
  <c r="C291" i="3"/>
  <c r="G289" i="3"/>
  <c r="H289" i="3"/>
  <c r="G290" i="3" l="1"/>
  <c r="H290" i="3"/>
  <c r="F291" i="3"/>
  <c r="E291" i="3"/>
  <c r="C292" i="3"/>
  <c r="G291" i="3" l="1"/>
  <c r="H291" i="3"/>
  <c r="F292" i="3"/>
  <c r="E292" i="3"/>
  <c r="C293" i="3"/>
  <c r="F293" i="3" l="1"/>
  <c r="E293" i="3"/>
  <c r="C294" i="3"/>
  <c r="G292" i="3"/>
  <c r="H292" i="3"/>
  <c r="G293" i="3" l="1"/>
  <c r="H293" i="3"/>
  <c r="F294" i="3"/>
  <c r="E294" i="3"/>
  <c r="C295" i="3"/>
  <c r="G294" i="3" l="1"/>
  <c r="H294" i="3"/>
  <c r="E295" i="3"/>
  <c r="F295" i="3"/>
  <c r="C296" i="3"/>
  <c r="F296" i="3" l="1"/>
  <c r="E296" i="3"/>
  <c r="C297" i="3"/>
  <c r="G295" i="3"/>
  <c r="H295" i="3"/>
  <c r="G296" i="3" l="1"/>
  <c r="H296" i="3"/>
  <c r="E297" i="3"/>
  <c r="F297" i="3"/>
  <c r="C298" i="3"/>
  <c r="F298" i="3" l="1"/>
  <c r="E298" i="3"/>
  <c r="C299" i="3"/>
  <c r="G297" i="3"/>
  <c r="H297" i="3"/>
  <c r="G298" i="3" l="1"/>
  <c r="H298" i="3"/>
  <c r="F299" i="3"/>
  <c r="E299" i="3"/>
  <c r="C300" i="3"/>
  <c r="G299" i="3" l="1"/>
  <c r="H299" i="3"/>
  <c r="F300" i="3"/>
  <c r="E300" i="3"/>
  <c r="C301" i="3"/>
  <c r="G300" i="3" l="1"/>
  <c r="H300" i="3"/>
  <c r="F301" i="3"/>
  <c r="E301" i="3"/>
  <c r="C302" i="3"/>
  <c r="F302" i="3" l="1"/>
  <c r="E302" i="3"/>
  <c r="C303" i="3"/>
  <c r="G301" i="3"/>
  <c r="H301" i="3"/>
  <c r="G302" i="3" l="1"/>
  <c r="H302" i="3"/>
  <c r="E303" i="3"/>
  <c r="F303" i="3"/>
  <c r="C304" i="3"/>
  <c r="F304" i="3" l="1"/>
  <c r="E304" i="3"/>
  <c r="C305" i="3"/>
  <c r="G303" i="3"/>
  <c r="H303" i="3"/>
  <c r="G304" i="3" l="1"/>
  <c r="H304" i="3"/>
  <c r="E305" i="3"/>
  <c r="F305" i="3"/>
  <c r="C306" i="3"/>
  <c r="F306" i="3" l="1"/>
  <c r="E306" i="3"/>
  <c r="C307" i="3"/>
  <c r="G305" i="3"/>
  <c r="H305" i="3"/>
  <c r="G306" i="3" l="1"/>
  <c r="H306" i="3"/>
  <c r="F307" i="3"/>
  <c r="E307" i="3"/>
  <c r="C308" i="3"/>
  <c r="G307" i="3" l="1"/>
  <c r="H307" i="3"/>
  <c r="F308" i="3"/>
  <c r="E308" i="3"/>
  <c r="C309" i="3"/>
  <c r="F309" i="3" l="1"/>
  <c r="E309" i="3"/>
  <c r="C310" i="3"/>
  <c r="G308" i="3"/>
  <c r="H308" i="3"/>
  <c r="G309" i="3" l="1"/>
  <c r="H309" i="3"/>
  <c r="F310" i="3"/>
  <c r="E310" i="3"/>
  <c r="C311" i="3"/>
  <c r="G310" i="3" l="1"/>
  <c r="H310" i="3"/>
  <c r="E311" i="3"/>
  <c r="F311" i="3"/>
  <c r="C312" i="3"/>
  <c r="F312" i="3" l="1"/>
  <c r="E312" i="3"/>
  <c r="C313" i="3"/>
  <c r="G311" i="3"/>
  <c r="H311" i="3"/>
  <c r="G312" i="3" l="1"/>
  <c r="H312" i="3"/>
  <c r="E313" i="3"/>
  <c r="F313" i="3"/>
  <c r="C314" i="3"/>
  <c r="F314" i="3" l="1"/>
  <c r="E314" i="3"/>
  <c r="C315" i="3"/>
  <c r="G313" i="3"/>
  <c r="H313" i="3"/>
  <c r="G314" i="3" l="1"/>
  <c r="H314" i="3"/>
  <c r="F315" i="3"/>
  <c r="E315" i="3"/>
  <c r="C316" i="3"/>
  <c r="F316" i="3" l="1"/>
  <c r="E316" i="3"/>
  <c r="C317" i="3"/>
  <c r="G315" i="3"/>
  <c r="H315" i="3"/>
  <c r="G316" i="3" l="1"/>
  <c r="H316" i="3"/>
  <c r="F317" i="3"/>
  <c r="E317" i="3"/>
  <c r="C318" i="3"/>
  <c r="G317" i="3" l="1"/>
  <c r="H317" i="3"/>
  <c r="F318" i="3"/>
  <c r="E318" i="3"/>
  <c r="C319" i="3"/>
  <c r="G318" i="3" l="1"/>
  <c r="H318" i="3"/>
  <c r="E319" i="3"/>
  <c r="F319" i="3"/>
  <c r="C320" i="3"/>
  <c r="F320" i="3" l="1"/>
  <c r="E320" i="3"/>
  <c r="C321" i="3"/>
  <c r="G319" i="3"/>
  <c r="H319" i="3"/>
  <c r="G320" i="3" l="1"/>
  <c r="H320" i="3"/>
  <c r="E321" i="3"/>
  <c r="F321" i="3"/>
  <c r="C322" i="3"/>
  <c r="F322" i="3" l="1"/>
  <c r="E322" i="3"/>
  <c r="C323" i="3"/>
  <c r="G321" i="3"/>
  <c r="H321" i="3"/>
  <c r="G322" i="3" l="1"/>
  <c r="H322" i="3"/>
  <c r="F323" i="3"/>
  <c r="E323" i="3"/>
  <c r="C324" i="3"/>
  <c r="G323" i="3" l="1"/>
  <c r="H323" i="3"/>
  <c r="F324" i="3"/>
  <c r="E324" i="3"/>
  <c r="C325" i="3"/>
  <c r="G324" i="3" l="1"/>
  <c r="H324" i="3"/>
  <c r="F325" i="3"/>
  <c r="E325" i="3"/>
  <c r="C326" i="3"/>
  <c r="G325" i="3" l="1"/>
  <c r="H325" i="3"/>
  <c r="F326" i="3"/>
  <c r="E326" i="3"/>
  <c r="C327" i="3"/>
  <c r="G326" i="3" l="1"/>
  <c r="H326" i="3"/>
  <c r="E327" i="3"/>
  <c r="F327" i="3"/>
  <c r="C328" i="3"/>
  <c r="F328" i="3" l="1"/>
  <c r="E328" i="3"/>
  <c r="C329" i="3"/>
  <c r="G327" i="3"/>
  <c r="H327" i="3"/>
  <c r="G328" i="3" l="1"/>
  <c r="H328" i="3"/>
  <c r="E329" i="3"/>
  <c r="F329" i="3"/>
  <c r="C330" i="3"/>
  <c r="F330" i="3" l="1"/>
  <c r="E330" i="3"/>
  <c r="C331" i="3"/>
  <c r="G329" i="3"/>
  <c r="H329" i="3"/>
  <c r="G330" i="3" l="1"/>
  <c r="H330" i="3"/>
  <c r="F331" i="3"/>
  <c r="E331" i="3"/>
  <c r="C332" i="3"/>
  <c r="F332" i="3" l="1"/>
  <c r="E332" i="3"/>
  <c r="C333" i="3"/>
  <c r="G331" i="3"/>
  <c r="H331" i="3"/>
  <c r="G332" i="3" l="1"/>
  <c r="H332" i="3"/>
  <c r="F333" i="3"/>
  <c r="E333" i="3"/>
  <c r="C334" i="3"/>
  <c r="E334" i="3" l="1"/>
  <c r="F334" i="3"/>
  <c r="C335" i="3"/>
  <c r="G333" i="3"/>
  <c r="H333" i="3"/>
  <c r="E335" i="3" l="1"/>
  <c r="F335" i="3"/>
  <c r="C336" i="3"/>
  <c r="G334" i="3"/>
  <c r="H334" i="3"/>
  <c r="F336" i="3" l="1"/>
  <c r="E336" i="3"/>
  <c r="C337" i="3"/>
  <c r="G335" i="3"/>
  <c r="H335" i="3"/>
  <c r="G336" i="3" l="1"/>
  <c r="H336" i="3"/>
  <c r="E337" i="3"/>
  <c r="F337" i="3"/>
  <c r="C338" i="3"/>
  <c r="F338" i="3" l="1"/>
  <c r="E338" i="3"/>
  <c r="C339" i="3"/>
  <c r="G337" i="3"/>
  <c r="H337" i="3"/>
  <c r="G338" i="3" l="1"/>
  <c r="H338" i="3"/>
  <c r="F339" i="3"/>
  <c r="E339" i="3"/>
  <c r="C340" i="3"/>
  <c r="F340" i="3" l="1"/>
  <c r="E340" i="3"/>
  <c r="C341" i="3"/>
  <c r="G339" i="3"/>
  <c r="H339" i="3"/>
  <c r="G340" i="3" l="1"/>
  <c r="H340" i="3"/>
  <c r="F341" i="3"/>
  <c r="E341" i="3"/>
  <c r="C342" i="3"/>
  <c r="G341" i="3" l="1"/>
  <c r="H341" i="3"/>
  <c r="F342" i="3"/>
  <c r="E342" i="3"/>
  <c r="C343" i="3"/>
  <c r="E343" i="3" l="1"/>
  <c r="F343" i="3"/>
  <c r="C344" i="3"/>
  <c r="G342" i="3"/>
  <c r="H342" i="3"/>
  <c r="F344" i="3" l="1"/>
  <c r="E344" i="3"/>
  <c r="C345" i="3"/>
  <c r="G343" i="3"/>
  <c r="H343" i="3"/>
  <c r="G344" i="3" l="1"/>
  <c r="H344" i="3"/>
  <c r="E345" i="3"/>
  <c r="F345" i="3"/>
  <c r="C346" i="3"/>
  <c r="F346" i="3" l="1"/>
  <c r="E346" i="3"/>
  <c r="C347" i="3"/>
  <c r="G345" i="3"/>
  <c r="H345" i="3"/>
  <c r="G346" i="3" l="1"/>
  <c r="H346" i="3"/>
  <c r="F347" i="3"/>
  <c r="E347" i="3"/>
  <c r="C348" i="3"/>
  <c r="G347" i="3" l="1"/>
  <c r="H347" i="3"/>
  <c r="F348" i="3"/>
  <c r="E348" i="3"/>
  <c r="C349" i="3"/>
  <c r="G348" i="3" l="1"/>
  <c r="H348" i="3"/>
  <c r="F349" i="3"/>
  <c r="E349" i="3"/>
  <c r="C350" i="3"/>
  <c r="G349" i="3" l="1"/>
  <c r="H349" i="3"/>
  <c r="E350" i="3"/>
  <c r="F350" i="3"/>
  <c r="C351" i="3"/>
  <c r="E351" i="3" l="1"/>
  <c r="F351" i="3"/>
  <c r="C352" i="3"/>
  <c r="G350" i="3"/>
  <c r="H350" i="3"/>
  <c r="F352" i="3" l="1"/>
  <c r="E352" i="3"/>
  <c r="C353" i="3"/>
  <c r="G351" i="3"/>
  <c r="H351" i="3"/>
  <c r="G352" i="3" l="1"/>
  <c r="H352" i="3"/>
  <c r="E353" i="3"/>
  <c r="F353" i="3"/>
  <c r="C354" i="3"/>
  <c r="F354" i="3" l="1"/>
  <c r="E354" i="3"/>
  <c r="C355" i="3"/>
  <c r="G353" i="3"/>
  <c r="H353" i="3"/>
  <c r="G354" i="3" l="1"/>
  <c r="H354" i="3"/>
  <c r="F355" i="3"/>
  <c r="E355" i="3"/>
  <c r="C356" i="3"/>
  <c r="G355" i="3" l="1"/>
  <c r="H355" i="3"/>
  <c r="F356" i="3"/>
  <c r="E356" i="3"/>
  <c r="C357" i="3"/>
  <c r="F357" i="3" l="1"/>
  <c r="E357" i="3"/>
  <c r="C358" i="3"/>
  <c r="G356" i="3"/>
  <c r="H356" i="3"/>
  <c r="G357" i="3" l="1"/>
  <c r="H357" i="3"/>
  <c r="F358" i="3"/>
  <c r="E358" i="3"/>
  <c r="C359" i="3"/>
  <c r="G358" i="3" l="1"/>
  <c r="H358" i="3"/>
  <c r="E359" i="3"/>
  <c r="F359" i="3"/>
  <c r="C360" i="3"/>
  <c r="F360" i="3" l="1"/>
  <c r="E360" i="3"/>
  <c r="C361" i="3"/>
  <c r="G359" i="3"/>
  <c r="H359" i="3"/>
  <c r="G360" i="3" l="1"/>
  <c r="H360" i="3"/>
  <c r="E361" i="3"/>
  <c r="F361" i="3"/>
  <c r="C362" i="3"/>
  <c r="F362" i="3" l="1"/>
  <c r="E362" i="3"/>
  <c r="G361" i="3"/>
  <c r="H361" i="3"/>
  <c r="G362" i="3" l="1"/>
  <c r="H362" i="3"/>
  <c r="C14" i="4"/>
  <c r="C37" i="4" l="1"/>
  <c r="C40" i="4" s="1"/>
  <c r="J15" i="2" l="1"/>
  <c r="K40" i="4"/>
  <c r="C39" i="4"/>
  <c r="D73" i="4" l="1"/>
  <c r="D77" i="4" s="1"/>
  <c r="E77" i="4" s="1"/>
  <c r="F77" i="4" s="1"/>
  <c r="G77" i="4" s="1"/>
  <c r="H77" i="4" s="1"/>
  <c r="D89" i="4"/>
  <c r="D96" i="4" s="1"/>
  <c r="E96" i="4" s="1"/>
  <c r="F96" i="4" s="1"/>
  <c r="G96" i="4" s="1"/>
  <c r="H96" i="4" s="1"/>
  <c r="F59" i="4"/>
  <c r="D51" i="4"/>
  <c r="D57" i="4" s="1"/>
  <c r="D84" i="4" l="1"/>
  <c r="D82" i="4" s="1"/>
  <c r="E82" i="4" s="1"/>
  <c r="F82" i="4" s="1"/>
  <c r="G82" i="4" s="1"/>
  <c r="H82" i="4" s="1"/>
  <c r="K42" i="2"/>
  <c r="F62" i="4"/>
  <c r="K45" i="2" s="1"/>
  <c r="D54" i="4"/>
  <c r="B61" i="4"/>
  <c r="D52" i="4"/>
  <c r="B59" i="4" s="1"/>
  <c r="K33" i="2" s="1"/>
  <c r="E60" i="4" l="1"/>
  <c r="L42" i="2"/>
  <c r="E61" i="4"/>
  <c r="E59" i="4"/>
  <c r="L44" i="2"/>
  <c r="L43" i="2"/>
  <c r="B63" i="4"/>
  <c r="K38" i="2" s="1"/>
  <c r="K35" i="2"/>
  <c r="B62" i="4"/>
  <c r="K36" i="2" s="1"/>
  <c r="E62" i="4" l="1"/>
  <c r="L45" i="2"/>
  <c r="B64" i="4"/>
  <c r="K39" i="2" s="1"/>
  <c r="B65" i="4" l="1"/>
  <c r="K40" i="2" s="1"/>
</calcChain>
</file>

<file path=xl/sharedStrings.xml><?xml version="1.0" encoding="utf-8"?>
<sst xmlns="http://schemas.openxmlformats.org/spreadsheetml/2006/main" count="193" uniqueCount="164">
  <si>
    <t>סעיפי הוצאה קבועים</t>
  </si>
  <si>
    <t>ארנונה</t>
  </si>
  <si>
    <t xml:space="preserve">ביטוח מבנה </t>
  </si>
  <si>
    <t xml:space="preserve">אגרות </t>
  </si>
  <si>
    <t>סה"כ הוצאות</t>
  </si>
  <si>
    <t>CAP RATE    (תשואה)</t>
  </si>
  <si>
    <t xml:space="preserve">הכנסה שנתית </t>
  </si>
  <si>
    <t>מחיר רכישה</t>
  </si>
  <si>
    <t>מימון</t>
  </si>
  <si>
    <t>שנתי</t>
  </si>
  <si>
    <t>חודשי</t>
  </si>
  <si>
    <t>הכנסות שכירות</t>
  </si>
  <si>
    <t>הון עצמי</t>
  </si>
  <si>
    <t>תזרים חיובי</t>
  </si>
  <si>
    <t>השקעה ותזרים</t>
  </si>
  <si>
    <t xml:space="preserve">הכנסות נכס </t>
  </si>
  <si>
    <t>Date</t>
  </si>
  <si>
    <t>PMT #</t>
  </si>
  <si>
    <t>AMO #</t>
  </si>
  <si>
    <t>Total Funding</t>
  </si>
  <si>
    <t>PPMT</t>
  </si>
  <si>
    <t>IPMT</t>
  </si>
  <si>
    <t>PMT</t>
  </si>
  <si>
    <t>Ending Principal</t>
  </si>
  <si>
    <t>Year</t>
  </si>
  <si>
    <t>Beginning Loan Amt.</t>
  </si>
  <si>
    <t>Int. Rate</t>
  </si>
  <si>
    <t>Amortization</t>
  </si>
  <si>
    <t>years</t>
  </si>
  <si>
    <t>Loan Constant</t>
  </si>
  <si>
    <t>I/O Period</t>
  </si>
  <si>
    <t>months</t>
  </si>
  <si>
    <t>Principal Payments</t>
  </si>
  <si>
    <t>Total Payments</t>
  </si>
  <si>
    <t>Year 1</t>
  </si>
  <si>
    <t>YEAR 2</t>
  </si>
  <si>
    <t>YEAR 3</t>
  </si>
  <si>
    <t>YEAR 4</t>
  </si>
  <si>
    <t>YEAR 5</t>
  </si>
  <si>
    <t>YEAR 6</t>
  </si>
  <si>
    <t>תחזוקה</t>
  </si>
  <si>
    <t>תפוסה</t>
  </si>
  <si>
    <t>CAP RATE    (מצופה)</t>
  </si>
  <si>
    <t>תחשבי תזרים / ממונף</t>
  </si>
  <si>
    <t>5 Year Pro Forma</t>
  </si>
  <si>
    <t>Pricing Summary</t>
  </si>
  <si>
    <t>Units</t>
  </si>
  <si>
    <t>Purchase Price</t>
  </si>
  <si>
    <t>Sales Price</t>
  </si>
  <si>
    <t>Cap Rate</t>
  </si>
  <si>
    <t>Per Unit</t>
  </si>
  <si>
    <t>Year Built</t>
  </si>
  <si>
    <t>Acquisition</t>
  </si>
  <si>
    <t>City, State</t>
  </si>
  <si>
    <t>Disposition</t>
  </si>
  <si>
    <t>Growth Trends</t>
  </si>
  <si>
    <t>Rent Growth</t>
  </si>
  <si>
    <t>Expense Growth</t>
  </si>
  <si>
    <t>Vacancy</t>
  </si>
  <si>
    <t>Other Economic Vacancy</t>
  </si>
  <si>
    <t>Total Economic Vacancy</t>
  </si>
  <si>
    <t>Income</t>
  </si>
  <si>
    <t>Gross Possible Rent</t>
  </si>
  <si>
    <t>Net Rental Revenue</t>
  </si>
  <si>
    <t>Other Income</t>
  </si>
  <si>
    <t>Effective Gross Income</t>
  </si>
  <si>
    <t>Expenses</t>
  </si>
  <si>
    <t>Total Expenses</t>
  </si>
  <si>
    <t xml:space="preserve">NOI </t>
  </si>
  <si>
    <t>Replacement Reserves</t>
  </si>
  <si>
    <t>NOI after Replacement Reserves</t>
  </si>
  <si>
    <t>Debt Service</t>
  </si>
  <si>
    <t>Cash Flow</t>
  </si>
  <si>
    <t>DSCR</t>
  </si>
  <si>
    <t>CAP RATES</t>
  </si>
  <si>
    <t>Beginning Capital Account Balance</t>
  </si>
  <si>
    <t>Refi Proceeds</t>
  </si>
  <si>
    <t>Net Equity Post-Refi</t>
  </si>
  <si>
    <t>Return Summary</t>
  </si>
  <si>
    <t>Equity Contributions</t>
  </si>
  <si>
    <t>Property Cash Flows</t>
  </si>
  <si>
    <t>Net Cash Flows</t>
  </si>
  <si>
    <t>Equity Balance</t>
  </si>
  <si>
    <t>Cash on Cash Yield</t>
  </si>
  <si>
    <t>Principal Reduction</t>
  </si>
  <si>
    <t>Adjusted Cash on Cash Yield</t>
  </si>
  <si>
    <t>IRR</t>
  </si>
  <si>
    <t>Return on Cash Flow</t>
  </si>
  <si>
    <t>Equity Invested</t>
  </si>
  <si>
    <t>Return on Sale</t>
  </si>
  <si>
    <t>Total Gross Profit</t>
  </si>
  <si>
    <t>Return of Principal</t>
  </si>
  <si>
    <t>Multiple</t>
  </si>
  <si>
    <t>Total Return</t>
  </si>
  <si>
    <t>Net Profit</t>
  </si>
  <si>
    <t>Total Return on Original Investment</t>
  </si>
  <si>
    <t>Average Annual Return</t>
  </si>
  <si>
    <t>Management Fees</t>
  </si>
  <si>
    <t>Leasing</t>
  </si>
  <si>
    <t>Make-Ready</t>
  </si>
  <si>
    <t>Maintenance</t>
  </si>
  <si>
    <t>RE Taxes</t>
  </si>
  <si>
    <t>Insurance</t>
  </si>
  <si>
    <t>Other Fees</t>
  </si>
  <si>
    <t>Turnover Rate</t>
  </si>
  <si>
    <t>5 Yr</t>
  </si>
  <si>
    <t>Avrege</t>
  </si>
  <si>
    <t>דמי ניהול</t>
  </si>
  <si>
    <t xml:space="preserve">הזן כתובת </t>
  </si>
  <si>
    <t xml:space="preserve">עליית ערך שנתית - שווי נכס </t>
  </si>
  <si>
    <t>עליית ערך דמי שכירות</t>
  </si>
  <si>
    <t>שיעור גידול הוצאות שנתי</t>
  </si>
  <si>
    <t xml:space="preserve">עלוית אכלוס </t>
  </si>
  <si>
    <t>פריסת משכנתא</t>
  </si>
  <si>
    <t>סעיפי הוצאה שנה א'</t>
  </si>
  <si>
    <t xml:space="preserve">מאוכלס </t>
  </si>
  <si>
    <t>לא מאוכלס</t>
  </si>
  <si>
    <t xml:space="preserve">תזרים שנה א' </t>
  </si>
  <si>
    <t xml:space="preserve">סה"כ </t>
  </si>
  <si>
    <t>שיעור החזר תזרימי על ההשקעה</t>
  </si>
  <si>
    <t>שיעור רווח שנתי</t>
  </si>
  <si>
    <t>מחיר רכישה:</t>
  </si>
  <si>
    <t>קרן</t>
  </si>
  <si>
    <t xml:space="preserve">סה"כ השקעה </t>
  </si>
  <si>
    <t>תזרים 5 שנים</t>
  </si>
  <si>
    <t>הון עצמי מושקע</t>
  </si>
  <si>
    <t>סה"כ הכנסות בתקופה</t>
  </si>
  <si>
    <t>מכפיל הון</t>
  </si>
  <si>
    <t>רווח נטו</t>
  </si>
  <si>
    <t>סה"כ שיעור רווח על השקעה מקורית</t>
  </si>
  <si>
    <t xml:space="preserve">תשואה שנתית ממוצעת </t>
  </si>
  <si>
    <t>שיעור ה IRR</t>
  </si>
  <si>
    <t>רווחי מכירה</t>
  </si>
  <si>
    <t>רווחי כיסוי קרן חוב</t>
  </si>
  <si>
    <t>סה"כ רווחים בתקופה</t>
  </si>
  <si>
    <t>רווחי שכירות תזרים נטו</t>
  </si>
  <si>
    <t>כתובת</t>
  </si>
  <si>
    <t>שונות</t>
  </si>
  <si>
    <t xml:space="preserve">אגרות / שונות  </t>
  </si>
  <si>
    <t>Y</t>
  </si>
  <si>
    <t>CF</t>
  </si>
  <si>
    <t>DR</t>
  </si>
  <si>
    <t>©  www.NadlanUSA.co.il    | כל הזכויות שמורות 2008 - 2020</t>
  </si>
  <si>
    <t>מחשבון פיננסי לניתוח הכנסות נכס מניב בארה"ב</t>
  </si>
  <si>
    <t xml:space="preserve"> </t>
  </si>
  <si>
    <t>עליית ערך</t>
  </si>
  <si>
    <t>שווי הנכס</t>
  </si>
  <si>
    <t>אקווטי</t>
  </si>
  <si>
    <t>תקציב שיפוץ</t>
  </si>
  <si>
    <t>עמלת ליווי</t>
  </si>
  <si>
    <t>שכירות חודשית</t>
  </si>
  <si>
    <t>תעריף דמי ניהול</t>
  </si>
  <si>
    <t>ביטוח מבנה</t>
  </si>
  <si>
    <t>פריסת משכנתא בשנים</t>
  </si>
  <si>
    <t>ריבית משכנתא</t>
  </si>
  <si>
    <t xml:space="preserve">נטו הכנסות מצופות </t>
  </si>
  <si>
    <t>מלא את שדות ההזנה בטבלה זו לצורך קבלת תמונה מקיפה וניתוח פיננסי לנכס מניב בארה"ב.</t>
  </si>
  <si>
    <t>כיסוי קרן משכנתא</t>
  </si>
  <si>
    <t>עלויות רכישה</t>
  </si>
  <si>
    <t>רווחי שכירות | תזרים</t>
  </si>
  <si>
    <t>רווחי שכירות | כיסוי קרן משכנתא</t>
  </si>
  <si>
    <t>שירות חוב (קרן וריבית)/DSR</t>
  </si>
  <si>
    <t>XXX CLEVELAND OHIO</t>
  </si>
  <si>
    <t>עלות הנכס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</si>
</sst>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000000000%"/>
    <numFmt numFmtId="167" formatCode="mm/dd/yy"/>
    <numFmt numFmtId="168" formatCode="_(&quot;$&quot;* #,##0_);_(&quot;$&quot;* \(#,##0\);_(&quot;$&quot;* &quot;-&quot;??_);_(@_)"/>
    <numFmt numFmtId="169" formatCode="&quot;Yr&quot;\ #,##0"/>
    <numFmt numFmtId="170" formatCode="_(* #,##0_);_(* \(#,##0\);_(* &quot;-&quot;??_);_(@_)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</font>
    <font>
      <b/>
      <sz val="8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FFC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C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7"/>
      </left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slantDashDot">
        <color theme="1" tint="0.499984740745262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rgb="FFFFC000"/>
      </right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7"/>
      </top>
      <bottom style="thin">
        <color theme="1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10" borderId="25" applyNumberFormat="0" applyAlignment="0" applyProtection="0"/>
  </cellStyleXfs>
  <cellXfs count="353">
    <xf numFmtId="0" fontId="0" fillId="0" borderId="0" xfId="0"/>
    <xf numFmtId="0" fontId="4" fillId="0" borderId="1" xfId="3" applyFont="1" applyBorder="1" applyAlignment="1">
      <alignment horizontal="center"/>
    </xf>
    <xf numFmtId="44" fontId="4" fillId="0" borderId="1" xfId="4" applyNumberFormat="1" applyFont="1" applyBorder="1" applyAlignment="1"/>
    <xf numFmtId="0" fontId="4" fillId="0" borderId="1" xfId="3" applyFont="1" applyBorder="1"/>
    <xf numFmtId="0" fontId="5" fillId="0" borderId="0" xfId="3" applyFont="1"/>
    <xf numFmtId="0" fontId="5" fillId="0" borderId="0" xfId="3" applyFont="1" applyAlignment="1">
      <alignment horizontal="center"/>
    </xf>
    <xf numFmtId="44" fontId="5" fillId="0" borderId="0" xfId="4" applyNumberFormat="1" applyFont="1" applyAlignment="1">
      <alignment horizontal="center"/>
    </xf>
    <xf numFmtId="14" fontId="5" fillId="5" borderId="0" xfId="3" applyNumberFormat="1" applyFont="1" applyFill="1"/>
    <xf numFmtId="6" fontId="5" fillId="0" borderId="0" xfId="4" applyNumberFormat="1" applyFont="1" applyFill="1" applyAlignment="1">
      <alignment horizontal="center"/>
    </xf>
    <xf numFmtId="6" fontId="5" fillId="0" borderId="0" xfId="3" applyNumberFormat="1" applyFont="1" applyAlignment="1">
      <alignment horizontal="center"/>
    </xf>
    <xf numFmtId="6" fontId="5" fillId="0" borderId="0" xfId="4" applyNumberFormat="1" applyFont="1" applyAlignment="1">
      <alignment horizontal="center"/>
    </xf>
    <xf numFmtId="164" fontId="5" fillId="0" borderId="0" xfId="3" applyNumberFormat="1" applyFont="1"/>
    <xf numFmtId="6" fontId="5" fillId="2" borderId="0" xfId="4" applyNumberFormat="1" applyFont="1" applyFill="1" applyAlignment="1">
      <alignment horizontal="right"/>
    </xf>
    <xf numFmtId="14" fontId="5" fillId="0" borderId="0" xfId="3" applyNumberFormat="1" applyFont="1"/>
    <xf numFmtId="10" fontId="5" fillId="2" borderId="0" xfId="3" applyNumberFormat="1" applyFont="1" applyFill="1"/>
    <xf numFmtId="1" fontId="5" fillId="2" borderId="0" xfId="3" applyNumberFormat="1" applyFont="1" applyFill="1"/>
    <xf numFmtId="10" fontId="5" fillId="0" borderId="0" xfId="5" applyNumberFormat="1" applyFont="1"/>
    <xf numFmtId="1" fontId="5" fillId="0" borderId="0" xfId="3" applyNumberFormat="1" applyFont="1"/>
    <xf numFmtId="6" fontId="5" fillId="0" borderId="0" xfId="3" applyNumberFormat="1" applyFont="1"/>
    <xf numFmtId="6" fontId="5" fillId="6" borderId="0" xfId="3" applyNumberFormat="1" applyFont="1" applyFill="1" applyAlignment="1">
      <alignment horizontal="center"/>
    </xf>
    <xf numFmtId="14" fontId="5" fillId="0" borderId="0" xfId="3" applyNumberFormat="1" applyFont="1" applyFill="1"/>
    <xf numFmtId="0" fontId="5" fillId="0" borderId="0" xfId="3" applyFont="1" applyFill="1" applyAlignment="1">
      <alignment horizontal="center"/>
    </xf>
    <xf numFmtId="6" fontId="5" fillId="0" borderId="0" xfId="3" applyNumberFormat="1" applyFont="1" applyFill="1" applyAlignment="1">
      <alignment horizontal="center"/>
    </xf>
    <xf numFmtId="0" fontId="4" fillId="0" borderId="0" xfId="3" applyFont="1" applyFill="1"/>
    <xf numFmtId="14" fontId="5" fillId="2" borderId="0" xfId="3" applyNumberFormat="1" applyFont="1" applyFill="1"/>
    <xf numFmtId="0" fontId="5" fillId="2" borderId="0" xfId="3" applyFont="1" applyFill="1" applyAlignment="1">
      <alignment horizontal="center"/>
    </xf>
    <xf numFmtId="6" fontId="5" fillId="2" borderId="0" xfId="4" applyNumberFormat="1" applyFont="1" applyFill="1" applyAlignment="1">
      <alignment horizontal="center"/>
    </xf>
    <xf numFmtId="6" fontId="5" fillId="2" borderId="0" xfId="3" applyNumberFormat="1" applyFont="1" applyFill="1" applyAlignment="1">
      <alignment horizontal="center"/>
    </xf>
    <xf numFmtId="0" fontId="5" fillId="2" borderId="0" xfId="3" applyFont="1" applyFill="1"/>
    <xf numFmtId="0" fontId="4" fillId="2" borderId="0" xfId="3" applyFont="1" applyFill="1"/>
    <xf numFmtId="0" fontId="5" fillId="6" borderId="0" xfId="3" applyFont="1" applyFill="1" applyAlignment="1">
      <alignment horizontal="center"/>
    </xf>
    <xf numFmtId="6" fontId="5" fillId="6" borderId="0" xfId="4" applyNumberFormat="1" applyFont="1" applyFill="1" applyAlignment="1">
      <alignment horizontal="center"/>
    </xf>
    <xf numFmtId="6" fontId="4" fillId="2" borderId="0" xfId="4" applyNumberFormat="1" applyFont="1" applyFill="1" applyAlignment="1">
      <alignment horizontal="center"/>
    </xf>
    <xf numFmtId="164" fontId="5" fillId="0" borderId="0" xfId="5" applyNumberFormat="1" applyFont="1"/>
    <xf numFmtId="0" fontId="4" fillId="0" borderId="0" xfId="0" applyFont="1" applyFill="1"/>
    <xf numFmtId="3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center"/>
    </xf>
    <xf numFmtId="10" fontId="10" fillId="5" borderId="9" xfId="0" applyNumberFormat="1" applyFont="1" applyFill="1" applyBorder="1" applyAlignment="1">
      <alignment horizontal="center"/>
    </xf>
    <xf numFmtId="10" fontId="10" fillId="5" borderId="0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69" fontId="7" fillId="2" borderId="0" xfId="0" applyNumberFormat="1" applyFont="1" applyFill="1" applyBorder="1" applyAlignment="1">
      <alignment horizontal="center"/>
    </xf>
    <xf numFmtId="38" fontId="8" fillId="2" borderId="0" xfId="0" applyNumberFormat="1" applyFont="1" applyFill="1" applyBorder="1" applyAlignment="1">
      <alignment horizontal="center"/>
    </xf>
    <xf numFmtId="170" fontId="5" fillId="0" borderId="0" xfId="1" applyNumberFormat="1" applyFont="1" applyBorder="1"/>
    <xf numFmtId="170" fontId="5" fillId="0" borderId="0" xfId="0" applyNumberFormat="1" applyFont="1" applyBorder="1"/>
    <xf numFmtId="0" fontId="4" fillId="8" borderId="0" xfId="0" applyFont="1" applyFill="1" applyBorder="1"/>
    <xf numFmtId="3" fontId="5" fillId="8" borderId="0" xfId="0" applyNumberFormat="1" applyFont="1" applyFill="1" applyBorder="1"/>
    <xf numFmtId="0" fontId="5" fillId="8" borderId="0" xfId="0" applyFont="1" applyFill="1" applyBorder="1"/>
    <xf numFmtId="10" fontId="7" fillId="9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18" fontId="4" fillId="2" borderId="0" xfId="0" applyNumberFormat="1" applyFont="1" applyFill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Border="1"/>
    <xf numFmtId="6" fontId="4" fillId="2" borderId="0" xfId="0" applyNumberFormat="1" applyFont="1" applyFill="1" applyBorder="1"/>
    <xf numFmtId="3" fontId="4" fillId="2" borderId="0" xfId="6" applyNumberFormat="1" applyFont="1" applyFill="1" applyBorder="1" applyAlignment="1">
      <alignment horizontal="center"/>
    </xf>
    <xf numFmtId="10" fontId="4" fillId="2" borderId="0" xfId="6" applyNumberFormat="1" applyFont="1" applyFill="1" applyBorder="1" applyAlignment="1">
      <alignment horizontal="center"/>
    </xf>
    <xf numFmtId="8" fontId="4" fillId="2" borderId="0" xfId="0" applyNumberFormat="1" applyFont="1" applyFill="1" applyBorder="1"/>
    <xf numFmtId="6" fontId="4" fillId="2" borderId="0" xfId="0" applyNumberFormat="1" applyFont="1" applyFill="1" applyBorder="1" applyAlignment="1">
      <alignment horizontal="center"/>
    </xf>
    <xf numFmtId="168" fontId="4" fillId="2" borderId="0" xfId="4" applyNumberFormat="1" applyFont="1" applyFill="1" applyBorder="1" applyAlignment="1">
      <alignment horizontal="center"/>
    </xf>
    <xf numFmtId="3" fontId="5" fillId="2" borderId="0" xfId="6" applyNumberFormat="1" applyFont="1" applyFill="1" applyBorder="1"/>
    <xf numFmtId="8" fontId="5" fillId="2" borderId="0" xfId="0" applyNumberFormat="1" applyFont="1" applyFill="1"/>
    <xf numFmtId="9" fontId="5" fillId="2" borderId="0" xfId="0" applyNumberFormat="1" applyFont="1" applyFill="1"/>
    <xf numFmtId="10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14" fontId="11" fillId="2" borderId="0" xfId="0" applyNumberFormat="1" applyFont="1" applyFill="1" applyBorder="1" applyAlignment="1">
      <alignment horizontal="center"/>
    </xf>
    <xf numFmtId="38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70" fontId="5" fillId="2" borderId="0" xfId="1" applyNumberFormat="1" applyFont="1" applyFill="1" applyBorder="1"/>
    <xf numFmtId="170" fontId="5" fillId="2" borderId="0" xfId="0" applyNumberFormat="1" applyFont="1" applyFill="1" applyBorder="1"/>
    <xf numFmtId="165" fontId="5" fillId="2" borderId="0" xfId="5" applyNumberFormat="1" applyFont="1" applyFill="1"/>
    <xf numFmtId="6" fontId="5" fillId="2" borderId="0" xfId="0" applyNumberFormat="1" applyFont="1" applyFill="1"/>
    <xf numFmtId="0" fontId="8" fillId="2" borderId="0" xfId="0" applyFont="1" applyFill="1"/>
    <xf numFmtId="168" fontId="5" fillId="2" borderId="0" xfId="4" applyNumberFormat="1" applyFont="1" applyFill="1"/>
    <xf numFmtId="0" fontId="7" fillId="2" borderId="17" xfId="0" applyFont="1" applyFill="1" applyBorder="1"/>
    <xf numFmtId="10" fontId="8" fillId="2" borderId="18" xfId="0" applyNumberFormat="1" applyFont="1" applyFill="1" applyBorder="1" applyAlignment="1">
      <alignment horizontal="center"/>
    </xf>
    <xf numFmtId="10" fontId="7" fillId="2" borderId="19" xfId="5" applyNumberFormat="1" applyFont="1" applyFill="1" applyBorder="1" applyAlignment="1">
      <alignment horizontal="center"/>
    </xf>
    <xf numFmtId="6" fontId="8" fillId="2" borderId="18" xfId="0" applyNumberFormat="1" applyFont="1" applyFill="1" applyBorder="1" applyAlignment="1">
      <alignment horizontal="center"/>
    </xf>
    <xf numFmtId="0" fontId="7" fillId="2" borderId="20" xfId="0" applyFont="1" applyFill="1" applyBorder="1"/>
    <xf numFmtId="6" fontId="8" fillId="2" borderId="21" xfId="0" applyNumberFormat="1" applyFont="1" applyFill="1" applyBorder="1" applyAlignment="1">
      <alignment horizontal="center"/>
    </xf>
    <xf numFmtId="10" fontId="7" fillId="2" borderId="0" xfId="5" applyNumberFormat="1" applyFont="1" applyFill="1" applyBorder="1" applyAlignment="1">
      <alignment horizontal="center"/>
    </xf>
    <xf numFmtId="0" fontId="7" fillId="2" borderId="22" xfId="0" applyFont="1" applyFill="1" applyBorder="1"/>
    <xf numFmtId="39" fontId="8" fillId="2" borderId="23" xfId="1" applyNumberFormat="1" applyFont="1" applyFill="1" applyBorder="1" applyAlignment="1">
      <alignment horizontal="center"/>
    </xf>
    <xf numFmtId="10" fontId="7" fillId="2" borderId="24" xfId="5" applyNumberFormat="1" applyFont="1" applyFill="1" applyBorder="1" applyAlignment="1">
      <alignment horizontal="center"/>
    </xf>
    <xf numFmtId="6" fontId="8" fillId="2" borderId="23" xfId="0" applyNumberFormat="1" applyFont="1" applyFill="1" applyBorder="1" applyAlignment="1">
      <alignment horizontal="center"/>
    </xf>
    <xf numFmtId="0" fontId="4" fillId="2" borderId="0" xfId="0" applyFont="1" applyFill="1"/>
    <xf numFmtId="9" fontId="5" fillId="2" borderId="0" xfId="5" applyNumberFormat="1" applyFont="1" applyFill="1"/>
    <xf numFmtId="9" fontId="5" fillId="2" borderId="0" xfId="5" applyFont="1" applyFill="1"/>
    <xf numFmtId="0" fontId="7" fillId="2" borderId="0" xfId="0" applyFont="1" applyFill="1" applyBorder="1" applyAlignment="1">
      <alignment horizontal="left" indent="1"/>
    </xf>
    <xf numFmtId="3" fontId="15" fillId="2" borderId="0" xfId="7" applyNumberFormat="1" applyFont="1" applyFill="1" applyBorder="1" applyAlignment="1" applyProtection="1"/>
    <xf numFmtId="4" fontId="15" fillId="2" borderId="0" xfId="7" applyNumberFormat="1" applyFont="1" applyFill="1" applyBorder="1" applyAlignment="1" applyProtection="1"/>
    <xf numFmtId="38" fontId="8" fillId="2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165" fontId="5" fillId="2" borderId="0" xfId="0" applyNumberFormat="1" applyFont="1" applyFill="1" applyBorder="1"/>
    <xf numFmtId="39" fontId="8" fillId="2" borderId="0" xfId="1" applyNumberFormat="1" applyFont="1" applyFill="1" applyBorder="1" applyAlignment="1">
      <alignment horizontal="center"/>
    </xf>
    <xf numFmtId="0" fontId="7" fillId="2" borderId="6" xfId="0" applyFont="1" applyFill="1" applyBorder="1"/>
    <xf numFmtId="165" fontId="5" fillId="2" borderId="7" xfId="0" applyNumberFormat="1" applyFont="1" applyFill="1" applyBorder="1"/>
    <xf numFmtId="10" fontId="8" fillId="2" borderId="7" xfId="5" applyNumberFormat="1" applyFont="1" applyFill="1" applyBorder="1" applyAlignment="1">
      <alignment horizontal="center"/>
    </xf>
    <xf numFmtId="10" fontId="8" fillId="2" borderId="8" xfId="5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3" fontId="5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6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165" fontId="4" fillId="2" borderId="0" xfId="0" applyNumberFormat="1" applyFont="1" applyFill="1" applyBorder="1"/>
    <xf numFmtId="165" fontId="7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/>
    <xf numFmtId="0" fontId="12" fillId="2" borderId="0" xfId="0" applyFont="1" applyFill="1" applyBorder="1"/>
    <xf numFmtId="3" fontId="7" fillId="2" borderId="0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3" fontId="5" fillId="2" borderId="0" xfId="0" applyNumberFormat="1" applyFont="1" applyFill="1" applyBorder="1" applyAlignment="1">
      <alignment horizontal="right"/>
    </xf>
    <xf numFmtId="10" fontId="13" fillId="2" borderId="0" xfId="5" applyNumberFormat="1" applyFont="1" applyFill="1" applyBorder="1" applyAlignment="1">
      <alignment horizontal="center"/>
    </xf>
    <xf numFmtId="1" fontId="5" fillId="2" borderId="0" xfId="0" applyNumberFormat="1" applyFont="1" applyFill="1" applyBorder="1"/>
    <xf numFmtId="1" fontId="8" fillId="2" borderId="0" xfId="0" applyNumberFormat="1" applyFont="1" applyFill="1" applyBorder="1"/>
    <xf numFmtId="3" fontId="8" fillId="2" borderId="0" xfId="6" applyNumberFormat="1" applyFont="1" applyFill="1" applyBorder="1"/>
    <xf numFmtId="165" fontId="10" fillId="2" borderId="0" xfId="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2" borderId="6" xfId="0" applyFont="1" applyFill="1" applyBorder="1"/>
    <xf numFmtId="0" fontId="7" fillId="2" borderId="7" xfId="0" applyFont="1" applyFill="1" applyBorder="1" applyAlignment="1">
      <alignment horizontal="center"/>
    </xf>
    <xf numFmtId="167" fontId="7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10" fillId="2" borderId="13" xfId="0" applyFont="1" applyFill="1" applyBorder="1"/>
    <xf numFmtId="3" fontId="5" fillId="2" borderId="14" xfId="0" applyNumberFormat="1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1" xfId="0" applyFont="1" applyFill="1" applyBorder="1"/>
    <xf numFmtId="3" fontId="5" fillId="2" borderId="12" xfId="0" applyNumberFormat="1" applyFont="1" applyFill="1" applyBorder="1"/>
    <xf numFmtId="10" fontId="10" fillId="2" borderId="11" xfId="0" applyNumberFormat="1" applyFont="1" applyFill="1" applyBorder="1" applyAlignment="1">
      <alignment horizontal="center"/>
    </xf>
    <xf numFmtId="0" fontId="10" fillId="2" borderId="15" xfId="0" applyFont="1" applyFill="1" applyBorder="1"/>
    <xf numFmtId="3" fontId="5" fillId="2" borderId="16" xfId="0" applyNumberFormat="1" applyFont="1" applyFill="1" applyBorder="1"/>
    <xf numFmtId="10" fontId="10" fillId="2" borderId="15" xfId="0" applyNumberFormat="1" applyFont="1" applyFill="1" applyBorder="1" applyAlignment="1">
      <alignment horizontal="center"/>
    </xf>
    <xf numFmtId="10" fontId="10" fillId="2" borderId="1" xfId="0" applyNumberFormat="1" applyFont="1" applyFill="1" applyBorder="1" applyAlignment="1">
      <alignment horizontal="center"/>
    </xf>
    <xf numFmtId="10" fontId="10" fillId="2" borderId="16" xfId="0" applyNumberFormat="1" applyFont="1" applyFill="1" applyBorder="1" applyAlignment="1">
      <alignment horizontal="center"/>
    </xf>
    <xf numFmtId="5" fontId="5" fillId="2" borderId="0" xfId="0" applyNumberFormat="1" applyFont="1" applyFill="1"/>
    <xf numFmtId="9" fontId="5" fillId="2" borderId="0" xfId="2" applyFont="1" applyFill="1"/>
    <xf numFmtId="10" fontId="5" fillId="2" borderId="0" xfId="2" applyNumberFormat="1" applyFont="1" applyFill="1"/>
    <xf numFmtId="0" fontId="7" fillId="2" borderId="13" xfId="0" applyFont="1" applyFill="1" applyBorder="1" applyAlignment="1">
      <alignment horizontal="left"/>
    </xf>
    <xf numFmtId="0" fontId="8" fillId="2" borderId="9" xfId="0" applyNumberFormat="1" applyFont="1" applyFill="1" applyBorder="1" applyAlignment="1">
      <alignment horizontal="center"/>
    </xf>
    <xf numFmtId="6" fontId="8" fillId="2" borderId="9" xfId="0" applyNumberFormat="1" applyFont="1" applyFill="1" applyBorder="1" applyAlignment="1">
      <alignment horizontal="center"/>
    </xf>
    <xf numFmtId="10" fontId="8" fillId="2" borderId="9" xfId="0" applyNumberFormat="1" applyFont="1" applyFill="1" applyBorder="1" applyAlignment="1">
      <alignment horizontal="center"/>
    </xf>
    <xf numFmtId="10" fontId="8" fillId="2" borderId="9" xfId="5" applyNumberFormat="1" applyFont="1" applyFill="1" applyBorder="1" applyAlignment="1">
      <alignment horizontal="center"/>
    </xf>
    <xf numFmtId="6" fontId="8" fillId="2" borderId="14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8" fontId="8" fillId="2" borderId="1" xfId="0" applyNumberFormat="1" applyFont="1" applyFill="1" applyBorder="1" applyAlignment="1">
      <alignment horizontal="center"/>
    </xf>
    <xf numFmtId="6" fontId="8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6" fontId="8" fillId="2" borderId="16" xfId="0" applyNumberFormat="1" applyFont="1" applyFill="1" applyBorder="1" applyAlignment="1">
      <alignment horizontal="center"/>
    </xf>
    <xf numFmtId="38" fontId="7" fillId="2" borderId="0" xfId="0" applyNumberFormat="1" applyFont="1" applyFill="1" applyBorder="1" applyAlignment="1">
      <alignment horizontal="center"/>
    </xf>
    <xf numFmtId="0" fontId="4" fillId="2" borderId="7" xfId="0" applyFont="1" applyFill="1" applyBorder="1"/>
    <xf numFmtId="38" fontId="7" fillId="2" borderId="7" xfId="0" applyNumberFormat="1" applyFont="1" applyFill="1" applyBorder="1" applyAlignment="1">
      <alignment horizontal="center"/>
    </xf>
    <xf numFmtId="38" fontId="7" fillId="2" borderId="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8" fontId="5" fillId="2" borderId="0" xfId="0" applyNumberFormat="1" applyFont="1" applyFill="1" applyAlignment="1">
      <alignment horizontal="center"/>
    </xf>
    <xf numFmtId="9" fontId="5" fillId="2" borderId="0" xfId="2" applyFont="1" applyFill="1" applyBorder="1" applyAlignment="1">
      <alignment horizontal="center"/>
    </xf>
    <xf numFmtId="0" fontId="0" fillId="2" borderId="0" xfId="0" applyFill="1"/>
    <xf numFmtId="9" fontId="0" fillId="2" borderId="40" xfId="0" applyNumberFormat="1" applyFill="1" applyBorder="1"/>
    <xf numFmtId="9" fontId="0" fillId="2" borderId="41" xfId="0" applyNumberFormat="1" applyFill="1" applyBorder="1"/>
    <xf numFmtId="0" fontId="0" fillId="2" borderId="40" xfId="0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0" fontId="2" fillId="2" borderId="0" xfId="0" applyFont="1" applyFill="1"/>
    <xf numFmtId="0" fontId="2" fillId="2" borderId="39" xfId="0" applyFont="1" applyFill="1" applyBorder="1"/>
    <xf numFmtId="0" fontId="2" fillId="2" borderId="39" xfId="0" applyFont="1" applyFill="1" applyBorder="1" applyAlignment="1">
      <alignment horizontal="right"/>
    </xf>
    <xf numFmtId="39" fontId="5" fillId="2" borderId="0" xfId="0" applyNumberFormat="1" applyFont="1" applyFill="1" applyAlignment="1">
      <alignment horizontal="center"/>
    </xf>
    <xf numFmtId="6" fontId="5" fillId="2" borderId="0" xfId="0" applyNumberFormat="1" applyFont="1" applyFill="1" applyBorder="1"/>
    <xf numFmtId="6" fontId="5" fillId="2" borderId="1" xfId="0" applyNumberFormat="1" applyFont="1" applyFill="1" applyBorder="1"/>
    <xf numFmtId="6" fontId="5" fillId="2" borderId="3" xfId="0" applyNumberFormat="1" applyFont="1" applyFill="1" applyBorder="1"/>
    <xf numFmtId="6" fontId="5" fillId="2" borderId="4" xfId="0" applyNumberFormat="1" applyFont="1" applyFill="1" applyBorder="1"/>
    <xf numFmtId="6" fontId="5" fillId="2" borderId="5" xfId="0" applyNumberFormat="1" applyFont="1" applyFill="1" applyBorder="1"/>
    <xf numFmtId="0" fontId="5" fillId="2" borderId="0" xfId="0" applyFont="1" applyFill="1" applyAlignment="1">
      <alignment horizontal="right"/>
    </xf>
    <xf numFmtId="5" fontId="5" fillId="0" borderId="0" xfId="0" applyNumberFormat="1" applyFont="1" applyAlignment="1"/>
    <xf numFmtId="6" fontId="5" fillId="0" borderId="0" xfId="0" applyNumberFormat="1" applyFont="1" applyAlignment="1"/>
    <xf numFmtId="5" fontId="5" fillId="0" borderId="0" xfId="0" applyNumberFormat="1" applyFont="1"/>
    <xf numFmtId="0" fontId="0" fillId="7" borderId="0" xfId="0" applyFill="1" applyProtection="1"/>
    <xf numFmtId="0" fontId="0" fillId="7" borderId="46" xfId="0" applyFill="1" applyBorder="1" applyProtection="1"/>
    <xf numFmtId="0" fontId="0" fillId="2" borderId="0" xfId="0" applyFill="1" applyProtection="1"/>
    <xf numFmtId="0" fontId="0" fillId="2" borderId="45" xfId="0" applyFill="1" applyBorder="1" applyAlignment="1" applyProtection="1"/>
    <xf numFmtId="0" fontId="0" fillId="2" borderId="0" xfId="0" applyFill="1" applyAlignment="1" applyProtection="1"/>
    <xf numFmtId="0" fontId="0" fillId="2" borderId="10" xfId="0" applyFill="1" applyBorder="1" applyAlignment="1" applyProtection="1"/>
    <xf numFmtId="0" fontId="0" fillId="13" borderId="68" xfId="0" applyFont="1" applyFill="1" applyBorder="1" applyProtection="1"/>
    <xf numFmtId="0" fontId="22" fillId="13" borderId="68" xfId="7" applyFont="1" applyFill="1" applyBorder="1" applyAlignment="1" applyProtection="1">
      <alignment horizontal="center" readingOrder="2"/>
    </xf>
    <xf numFmtId="0" fontId="0" fillId="13" borderId="68" xfId="0" applyFont="1" applyFill="1" applyBorder="1" applyAlignment="1" applyProtection="1"/>
    <xf numFmtId="0" fontId="2" fillId="7" borderId="3" xfId="0" applyFont="1" applyFill="1" applyBorder="1" applyAlignment="1" applyProtection="1"/>
    <xf numFmtId="0" fontId="2" fillId="7" borderId="4" xfId="0" applyFont="1" applyFill="1" applyBorder="1" applyAlignment="1" applyProtection="1"/>
    <xf numFmtId="0" fontId="2" fillId="7" borderId="5" xfId="0" applyFont="1" applyFill="1" applyBorder="1" applyAlignment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0" fillId="2" borderId="0" xfId="0" applyFont="1" applyFill="1" applyProtection="1"/>
    <xf numFmtId="0" fontId="20" fillId="2" borderId="0" xfId="0" applyFont="1" applyFill="1" applyAlignment="1" applyProtection="1">
      <alignment horizontal="right"/>
    </xf>
    <xf numFmtId="9" fontId="0" fillId="2" borderId="0" xfId="0" applyNumberFormat="1" applyFont="1" applyFill="1" applyProtection="1"/>
    <xf numFmtId="5" fontId="0" fillId="2" borderId="0" xfId="0" applyNumberFormat="1" applyFont="1" applyFill="1" applyAlignment="1" applyProtection="1">
      <alignment horizontal="right"/>
    </xf>
    <xf numFmtId="0" fontId="0" fillId="7" borderId="0" xfId="0" applyFill="1" applyBorder="1" applyProtection="1"/>
    <xf numFmtId="10" fontId="18" fillId="2" borderId="27" xfId="0" applyNumberFormat="1" applyFont="1" applyFill="1" applyBorder="1" applyProtection="1"/>
    <xf numFmtId="0" fontId="2" fillId="11" borderId="0" xfId="0" applyFont="1" applyFill="1" applyProtection="1"/>
    <xf numFmtId="5" fontId="2" fillId="11" borderId="0" xfId="0" applyNumberFormat="1" applyFont="1" applyFill="1" applyProtection="1"/>
    <xf numFmtId="0" fontId="2" fillId="2" borderId="1" xfId="0" applyFont="1" applyFill="1" applyBorder="1" applyProtection="1"/>
    <xf numFmtId="5" fontId="2" fillId="2" borderId="0" xfId="0" applyNumberFormat="1" applyFont="1" applyFill="1" applyBorder="1" applyProtection="1"/>
    <xf numFmtId="5" fontId="0" fillId="2" borderId="0" xfId="0" applyNumberFormat="1" applyFont="1" applyFill="1" applyProtection="1"/>
    <xf numFmtId="5" fontId="0" fillId="2" borderId="0" xfId="0" applyNumberFormat="1" applyFont="1" applyFill="1" applyBorder="1" applyProtection="1"/>
    <xf numFmtId="0" fontId="2" fillId="12" borderId="28" xfId="0" applyFont="1" applyFill="1" applyBorder="1" applyProtection="1"/>
    <xf numFmtId="0" fontId="2" fillId="12" borderId="29" xfId="0" applyFont="1" applyFill="1" applyBorder="1" applyProtection="1"/>
    <xf numFmtId="5" fontId="2" fillId="12" borderId="29" xfId="0" applyNumberFormat="1" applyFont="1" applyFill="1" applyBorder="1" applyProtection="1"/>
    <xf numFmtId="5" fontId="2" fillId="12" borderId="30" xfId="0" applyNumberFormat="1" applyFont="1" applyFill="1" applyBorder="1" applyProtection="1"/>
    <xf numFmtId="10" fontId="0" fillId="2" borderId="0" xfId="2" applyNumberFormat="1" applyFont="1" applyFill="1" applyProtection="1"/>
    <xf numFmtId="6" fontId="0" fillId="2" borderId="0" xfId="0" applyNumberFormat="1" applyFont="1" applyFill="1" applyBorder="1" applyProtection="1"/>
    <xf numFmtId="6" fontId="0" fillId="2" borderId="0" xfId="0" applyNumberFormat="1" applyFont="1" applyFill="1" applyProtection="1"/>
    <xf numFmtId="5" fontId="2" fillId="2" borderId="0" xfId="0" applyNumberFormat="1" applyFont="1" applyFill="1" applyProtection="1"/>
    <xf numFmtId="10" fontId="2" fillId="2" borderId="0" xfId="2" applyNumberFormat="1" applyFont="1" applyFill="1" applyBorder="1" applyProtection="1"/>
    <xf numFmtId="0" fontId="2" fillId="2" borderId="0" xfId="0" applyFont="1" applyFill="1" applyBorder="1" applyProtection="1"/>
    <xf numFmtId="0" fontId="2" fillId="12" borderId="27" xfId="0" applyFont="1" applyFill="1" applyBorder="1" applyProtection="1"/>
    <xf numFmtId="5" fontId="2" fillId="12" borderId="27" xfId="8" applyNumberFormat="1" applyFont="1" applyFill="1" applyBorder="1" applyAlignment="1" applyProtection="1">
      <alignment horizontal="right" indent="1"/>
    </xf>
    <xf numFmtId="0" fontId="20" fillId="2" borderId="0" xfId="0" applyFont="1" applyFill="1" applyBorder="1" applyProtection="1"/>
    <xf numFmtId="5" fontId="2" fillId="2" borderId="31" xfId="8" applyNumberFormat="1" applyFont="1" applyFill="1" applyBorder="1" applyProtection="1"/>
    <xf numFmtId="165" fontId="0" fillId="7" borderId="0" xfId="2" applyNumberFormat="1" applyFont="1" applyFill="1" applyBorder="1" applyProtection="1"/>
    <xf numFmtId="0" fontId="2" fillId="11" borderId="28" xfId="0" applyFont="1" applyFill="1" applyBorder="1" applyProtection="1"/>
    <xf numFmtId="5" fontId="2" fillId="11" borderId="29" xfId="0" applyNumberFormat="1" applyFont="1" applyFill="1" applyBorder="1" applyProtection="1"/>
    <xf numFmtId="10" fontId="0" fillId="2" borderId="0" xfId="2" applyNumberFormat="1" applyFont="1" applyFill="1" applyBorder="1" applyProtection="1"/>
    <xf numFmtId="10" fontId="0" fillId="7" borderId="34" xfId="2" applyNumberFormat="1" applyFont="1" applyFill="1" applyBorder="1" applyProtection="1"/>
    <xf numFmtId="5" fontId="2" fillId="11" borderId="38" xfId="0" applyNumberFormat="1" applyFont="1" applyFill="1" applyBorder="1" applyProtection="1"/>
    <xf numFmtId="43" fontId="0" fillId="7" borderId="27" xfId="1" applyFont="1" applyFill="1" applyBorder="1" applyProtection="1"/>
    <xf numFmtId="43" fontId="0" fillId="2" borderId="0" xfId="1" applyFont="1" applyFill="1" applyBorder="1" applyProtection="1"/>
    <xf numFmtId="10" fontId="0" fillId="7" borderId="0" xfId="2" applyNumberFormat="1" applyFont="1" applyFill="1" applyBorder="1" applyProtection="1"/>
    <xf numFmtId="10" fontId="0" fillId="7" borderId="27" xfId="2" applyNumberFormat="1" applyFont="1" applyFill="1" applyBorder="1" applyProtection="1"/>
    <xf numFmtId="9" fontId="0" fillId="7" borderId="34" xfId="2" applyFont="1" applyFill="1" applyBorder="1" applyProtection="1"/>
    <xf numFmtId="9" fontId="0" fillId="7" borderId="36" xfId="2" applyFont="1" applyFill="1" applyBorder="1" applyProtection="1"/>
    <xf numFmtId="5" fontId="2" fillId="7" borderId="0" xfId="0" applyNumberFormat="1" applyFont="1" applyFill="1" applyBorder="1" applyProtection="1"/>
    <xf numFmtId="5" fontId="2" fillId="7" borderId="36" xfId="0" applyNumberFormat="1" applyFont="1" applyFill="1" applyBorder="1" applyProtection="1"/>
    <xf numFmtId="9" fontId="0" fillId="7" borderId="38" xfId="2" applyFont="1" applyFill="1" applyBorder="1" applyProtection="1"/>
    <xf numFmtId="0" fontId="2" fillId="11" borderId="42" xfId="0" applyFont="1" applyFill="1" applyBorder="1" applyAlignment="1" applyProtection="1">
      <alignment horizontal="right" readingOrder="2"/>
    </xf>
    <xf numFmtId="10" fontId="2" fillId="11" borderId="43" xfId="2" applyNumberFormat="1" applyFont="1" applyFill="1" applyBorder="1" applyProtection="1"/>
    <xf numFmtId="7" fontId="2" fillId="11" borderId="44" xfId="0" applyNumberFormat="1" applyFont="1" applyFill="1" applyBorder="1" applyProtection="1"/>
    <xf numFmtId="166" fontId="2" fillId="7" borderId="55" xfId="2" applyNumberFormat="1" applyFont="1" applyFill="1" applyBorder="1" applyProtection="1"/>
    <xf numFmtId="0" fontId="2" fillId="7" borderId="0" xfId="0" applyFont="1" applyFill="1" applyBorder="1" applyProtection="1"/>
    <xf numFmtId="0" fontId="19" fillId="7" borderId="0" xfId="0" applyFont="1" applyFill="1" applyBorder="1" applyProtection="1"/>
    <xf numFmtId="166" fontId="2" fillId="7" borderId="0" xfId="2" applyNumberFormat="1" applyFont="1" applyFill="1" applyBorder="1" applyProtection="1"/>
    <xf numFmtId="0" fontId="0" fillId="7" borderId="0" xfId="0" applyFill="1" applyAlignment="1" applyProtection="1">
      <alignment readingOrder="2"/>
    </xf>
    <xf numFmtId="0" fontId="19" fillId="14" borderId="47" xfId="0" applyFont="1" applyFill="1" applyBorder="1" applyProtection="1">
      <protection locked="0"/>
    </xf>
    <xf numFmtId="9" fontId="19" fillId="14" borderId="47" xfId="0" applyNumberFormat="1" applyFont="1" applyFill="1" applyBorder="1" applyProtection="1">
      <protection locked="0"/>
    </xf>
    <xf numFmtId="10" fontId="19" fillId="14" borderId="47" xfId="0" applyNumberFormat="1" applyFont="1" applyFill="1" applyBorder="1" applyProtection="1">
      <protection locked="0"/>
    </xf>
    <xf numFmtId="9" fontId="19" fillId="14" borderId="47" xfId="0" applyNumberFormat="1" applyFont="1" applyFill="1" applyBorder="1" applyAlignment="1" applyProtection="1">
      <alignment horizontal="right"/>
      <protection locked="0"/>
    </xf>
    <xf numFmtId="0" fontId="19" fillId="14" borderId="47" xfId="0" applyFont="1" applyFill="1" applyBorder="1" applyAlignment="1" applyProtection="1">
      <alignment horizontal="right"/>
      <protection locked="0"/>
    </xf>
    <xf numFmtId="164" fontId="19" fillId="14" borderId="47" xfId="0" applyNumberFormat="1" applyFont="1" applyFill="1" applyBorder="1" applyAlignment="1" applyProtection="1">
      <alignment horizontal="right"/>
      <protection locked="0"/>
    </xf>
    <xf numFmtId="0" fontId="19" fillId="14" borderId="69" xfId="0" applyFont="1" applyFill="1" applyBorder="1" applyAlignment="1" applyProtection="1"/>
    <xf numFmtId="0" fontId="19" fillId="14" borderId="70" xfId="0" applyFont="1" applyFill="1" applyBorder="1" applyAlignment="1" applyProtection="1"/>
    <xf numFmtId="0" fontId="19" fillId="14" borderId="71" xfId="0" applyFont="1" applyFill="1" applyBorder="1" applyAlignment="1" applyProtection="1">
      <protection locked="0"/>
    </xf>
    <xf numFmtId="0" fontId="2" fillId="7" borderId="35" xfId="0" applyFont="1" applyFill="1" applyBorder="1" applyProtection="1"/>
    <xf numFmtId="6" fontId="0" fillId="7" borderId="33" xfId="0" applyNumberFormat="1" applyFont="1" applyFill="1" applyBorder="1" applyProtection="1"/>
    <xf numFmtId="10" fontId="0" fillId="7" borderId="33" xfId="0" applyNumberFormat="1" applyFont="1" applyFill="1" applyBorder="1" applyProtection="1"/>
    <xf numFmtId="0" fontId="0" fillId="7" borderId="0" xfId="0" applyFont="1" applyFill="1" applyBorder="1" applyProtection="1"/>
    <xf numFmtId="5" fontId="0" fillId="7" borderId="0" xfId="0" applyNumberFormat="1" applyFont="1" applyFill="1" applyBorder="1" applyProtection="1"/>
    <xf numFmtId="0" fontId="0" fillId="7" borderId="27" xfId="0" applyFont="1" applyFill="1" applyBorder="1" applyProtection="1"/>
    <xf numFmtId="0" fontId="24" fillId="7" borderId="32" xfId="0" applyFont="1" applyFill="1" applyBorder="1" applyAlignment="1" applyProtection="1">
      <alignment horizontal="right"/>
    </xf>
    <xf numFmtId="0" fontId="24" fillId="7" borderId="35" xfId="0" applyFont="1" applyFill="1" applyBorder="1" applyProtection="1"/>
    <xf numFmtId="0" fontId="24" fillId="7" borderId="37" xfId="0" applyFont="1" applyFill="1" applyBorder="1" applyProtection="1"/>
    <xf numFmtId="0" fontId="0" fillId="7" borderId="0" xfId="0" applyFont="1" applyFill="1" applyProtection="1"/>
    <xf numFmtId="0" fontId="0" fillId="2" borderId="45" xfId="0" applyFont="1" applyFill="1" applyBorder="1" applyAlignment="1" applyProtection="1"/>
    <xf numFmtId="0" fontId="0" fillId="2" borderId="0" xfId="0" applyFont="1" applyFill="1" applyAlignment="1" applyProtection="1"/>
    <xf numFmtId="0" fontId="0" fillId="2" borderId="10" xfId="0" applyFont="1" applyFill="1" applyBorder="1" applyAlignment="1" applyProtection="1"/>
    <xf numFmtId="0" fontId="0" fillId="2" borderId="1" xfId="0" applyFont="1" applyFill="1" applyBorder="1" applyProtection="1"/>
    <xf numFmtId="0" fontId="0" fillId="11" borderId="0" xfId="0" applyFont="1" applyFill="1" applyProtection="1"/>
    <xf numFmtId="0" fontId="0" fillId="2" borderId="45" xfId="0" applyFont="1" applyFill="1" applyBorder="1" applyProtection="1"/>
    <xf numFmtId="0" fontId="0" fillId="2" borderId="2" xfId="0" applyFont="1" applyFill="1" applyBorder="1" applyAlignment="1" applyProtection="1"/>
    <xf numFmtId="0" fontId="0" fillId="2" borderId="1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Alignment="1" applyProtection="1">
      <alignment horizontal="left"/>
    </xf>
    <xf numFmtId="0" fontId="0" fillId="2" borderId="2" xfId="0" applyFont="1" applyFill="1" applyBorder="1" applyProtection="1"/>
    <xf numFmtId="0" fontId="0" fillId="7" borderId="44" xfId="0" applyFont="1" applyFill="1" applyBorder="1" applyProtection="1"/>
    <xf numFmtId="0" fontId="0" fillId="7" borderId="35" xfId="0" applyFont="1" applyFill="1" applyBorder="1" applyAlignment="1" applyProtection="1">
      <alignment horizontal="right" indent="2"/>
    </xf>
    <xf numFmtId="9" fontId="0" fillId="7" borderId="0" xfId="0" applyNumberFormat="1" applyFont="1" applyFill="1" applyBorder="1" applyProtection="1"/>
    <xf numFmtId="5" fontId="0" fillId="7" borderId="36" xfId="0" applyNumberFormat="1" applyFont="1" applyFill="1" applyBorder="1" applyProtection="1"/>
    <xf numFmtId="0" fontId="0" fillId="11" borderId="29" xfId="0" applyFont="1" applyFill="1" applyBorder="1" applyProtection="1"/>
    <xf numFmtId="0" fontId="0" fillId="11" borderId="30" xfId="0" applyFont="1" applyFill="1" applyBorder="1" applyProtection="1"/>
    <xf numFmtId="0" fontId="0" fillId="7" borderId="37" xfId="0" applyFont="1" applyFill="1" applyBorder="1" applyAlignment="1" applyProtection="1">
      <alignment horizontal="right" indent="2"/>
    </xf>
    <xf numFmtId="5" fontId="0" fillId="7" borderId="27" xfId="0" applyNumberFormat="1" applyFont="1" applyFill="1" applyBorder="1" applyProtection="1"/>
    <xf numFmtId="5" fontId="0" fillId="7" borderId="38" xfId="0" applyNumberFormat="1" applyFont="1" applyFill="1" applyBorder="1" applyProtection="1"/>
    <xf numFmtId="0" fontId="0" fillId="7" borderId="36" xfId="0" applyFont="1" applyFill="1" applyBorder="1" applyProtection="1"/>
    <xf numFmtId="9" fontId="0" fillId="7" borderId="38" xfId="0" applyNumberFormat="1" applyFont="1" applyFill="1" applyBorder="1" applyProtection="1"/>
    <xf numFmtId="9" fontId="0" fillId="2" borderId="0" xfId="0" applyNumberFormat="1" applyFont="1" applyFill="1" applyBorder="1" applyProtection="1"/>
    <xf numFmtId="0" fontId="0" fillId="7" borderId="33" xfId="0" applyFont="1" applyFill="1" applyBorder="1" applyProtection="1"/>
    <xf numFmtId="5" fontId="0" fillId="7" borderId="33" xfId="0" applyNumberFormat="1" applyFont="1" applyFill="1" applyBorder="1" applyProtection="1"/>
    <xf numFmtId="0" fontId="0" fillId="7" borderId="34" xfId="0" applyFont="1" applyFill="1" applyBorder="1" applyProtection="1"/>
    <xf numFmtId="0" fontId="0" fillId="7" borderId="38" xfId="0" applyFont="1" applyFill="1" applyBorder="1" applyProtection="1"/>
    <xf numFmtId="0" fontId="0" fillId="7" borderId="35" xfId="0" applyFont="1" applyFill="1" applyBorder="1" applyProtection="1"/>
    <xf numFmtId="5" fontId="16" fillId="7" borderId="0" xfId="8" applyNumberFormat="1" applyFont="1" applyFill="1" applyBorder="1" applyProtection="1"/>
    <xf numFmtId="5" fontId="16" fillId="7" borderId="36" xfId="8" applyNumberFormat="1" applyFont="1" applyFill="1" applyBorder="1" applyProtection="1"/>
    <xf numFmtId="0" fontId="0" fillId="11" borderId="43" xfId="0" applyFont="1" applyFill="1" applyBorder="1" applyProtection="1"/>
    <xf numFmtId="0" fontId="0" fillId="2" borderId="49" xfId="0" applyFont="1" applyFill="1" applyBorder="1" applyProtection="1"/>
    <xf numFmtId="0" fontId="0" fillId="2" borderId="46" xfId="0" applyFont="1" applyFill="1" applyBorder="1" applyProtection="1"/>
    <xf numFmtId="5" fontId="0" fillId="2" borderId="46" xfId="0" applyNumberFormat="1" applyFont="1" applyFill="1" applyBorder="1" applyProtection="1"/>
    <xf numFmtId="0" fontId="0" fillId="2" borderId="50" xfId="0" applyFont="1" applyFill="1" applyBorder="1" applyProtection="1"/>
    <xf numFmtId="0" fontId="0" fillId="2" borderId="51" xfId="0" applyFont="1" applyFill="1" applyBorder="1" applyProtection="1"/>
    <xf numFmtId="0" fontId="0" fillId="7" borderId="45" xfId="0" applyFont="1" applyFill="1" applyBorder="1" applyProtection="1"/>
    <xf numFmtId="0" fontId="0" fillId="7" borderId="52" xfId="0" applyFont="1" applyFill="1" applyBorder="1" applyProtection="1"/>
    <xf numFmtId="0" fontId="0" fillId="7" borderId="53" xfId="0" applyFont="1" applyFill="1" applyBorder="1" applyProtection="1"/>
    <xf numFmtId="0" fontId="0" fillId="7" borderId="54" xfId="0" applyFont="1" applyFill="1" applyBorder="1" applyProtection="1"/>
    <xf numFmtId="0" fontId="0" fillId="7" borderId="55" xfId="0" applyFont="1" applyFill="1" applyBorder="1" applyProtection="1"/>
    <xf numFmtId="0" fontId="0" fillId="7" borderId="56" xfId="0" applyFont="1" applyFill="1" applyBorder="1" applyProtection="1"/>
    <xf numFmtId="0" fontId="0" fillId="7" borderId="55" xfId="0" applyFont="1" applyFill="1" applyBorder="1" applyAlignment="1" applyProtection="1">
      <alignment readingOrder="2"/>
    </xf>
    <xf numFmtId="0" fontId="0" fillId="7" borderId="48" xfId="0" applyFont="1" applyFill="1" applyBorder="1" applyProtection="1"/>
    <xf numFmtId="0" fontId="0" fillId="7" borderId="57" xfId="0" applyFont="1" applyFill="1" applyBorder="1" applyProtection="1"/>
    <xf numFmtId="0" fontId="0" fillId="7" borderId="58" xfId="0" applyFont="1" applyFill="1" applyBorder="1" applyProtection="1"/>
    <xf numFmtId="0" fontId="0" fillId="7" borderId="59" xfId="0" applyFont="1" applyFill="1" applyBorder="1" applyProtection="1"/>
    <xf numFmtId="5" fontId="2" fillId="2" borderId="31" xfId="0" applyNumberFormat="1" applyFont="1" applyFill="1" applyBorder="1" applyAlignment="1" applyProtection="1">
      <alignment horizontal="center"/>
    </xf>
    <xf numFmtId="5" fontId="0" fillId="2" borderId="0" xfId="0" applyNumberFormat="1" applyFont="1" applyFill="1" applyBorder="1" applyAlignment="1" applyProtection="1">
      <alignment horizontal="right"/>
    </xf>
    <xf numFmtId="5" fontId="0" fillId="2" borderId="27" xfId="0" applyNumberFormat="1" applyFont="1" applyFill="1" applyBorder="1" applyAlignment="1" applyProtection="1">
      <alignment horizontal="right"/>
    </xf>
    <xf numFmtId="0" fontId="23" fillId="4" borderId="26" xfId="0" applyFont="1" applyFill="1" applyBorder="1" applyAlignment="1" applyProtection="1">
      <alignment horizontal="left"/>
    </xf>
    <xf numFmtId="5" fontId="2" fillId="2" borderId="2" xfId="0" applyNumberFormat="1" applyFont="1" applyFill="1" applyBorder="1" applyProtection="1"/>
    <xf numFmtId="0" fontId="25" fillId="3" borderId="0" xfId="0" applyFont="1" applyFill="1" applyBorder="1" applyAlignment="1" applyProtection="1">
      <alignment readingOrder="2"/>
    </xf>
    <xf numFmtId="0" fontId="21" fillId="7" borderId="32" xfId="0" applyFont="1" applyFill="1" applyBorder="1" applyProtection="1"/>
    <xf numFmtId="0" fontId="2" fillId="7" borderId="33" xfId="0" applyFont="1" applyFill="1" applyBorder="1" applyProtection="1"/>
    <xf numFmtId="0" fontId="2" fillId="7" borderId="43" xfId="0" applyFont="1" applyFill="1" applyBorder="1" applyProtection="1"/>
    <xf numFmtId="0" fontId="26" fillId="11" borderId="37" xfId="0" applyFont="1" applyFill="1" applyBorder="1" applyAlignment="1" applyProtection="1">
      <alignment horizontal="right"/>
    </xf>
    <xf numFmtId="0" fontId="2" fillId="11" borderId="27" xfId="0" applyFont="1" applyFill="1" applyBorder="1" applyProtection="1"/>
    <xf numFmtId="5" fontId="2" fillId="11" borderId="27" xfId="0" applyNumberFormat="1" applyFont="1" applyFill="1" applyBorder="1" applyProtection="1"/>
    <xf numFmtId="0" fontId="24" fillId="2" borderId="0" xfId="0" applyFont="1" applyFill="1" applyBorder="1" applyProtection="1"/>
    <xf numFmtId="0" fontId="24" fillId="7" borderId="32" xfId="0" applyFont="1" applyFill="1" applyBorder="1" applyProtection="1"/>
    <xf numFmtId="0" fontId="27" fillId="7" borderId="0" xfId="7" applyFont="1" applyFill="1" applyBorder="1" applyAlignment="1" applyProtection="1">
      <alignment horizontal="right" readingOrder="2"/>
    </xf>
    <xf numFmtId="0" fontId="0" fillId="4" borderId="0" xfId="0" applyFill="1" applyAlignment="1" applyProtection="1"/>
    <xf numFmtId="0" fontId="0" fillId="4" borderId="0" xfId="0" applyFont="1" applyFill="1" applyAlignment="1" applyProtection="1"/>
    <xf numFmtId="42" fontId="19" fillId="14" borderId="47" xfId="8" applyNumberFormat="1" applyFont="1" applyFill="1" applyBorder="1" applyProtection="1">
      <protection locked="0"/>
    </xf>
    <xf numFmtId="42" fontId="19" fillId="14" borderId="47" xfId="0" applyNumberFormat="1" applyFont="1" applyFill="1" applyBorder="1" applyProtection="1">
      <protection locked="0"/>
    </xf>
    <xf numFmtId="0" fontId="2" fillId="7" borderId="42" xfId="0" applyFont="1" applyFill="1" applyBorder="1" applyAlignment="1" applyProtection="1">
      <alignment horizontal="right"/>
    </xf>
    <xf numFmtId="0" fontId="2" fillId="7" borderId="43" xfId="0" applyFont="1" applyFill="1" applyBorder="1" applyAlignment="1" applyProtection="1">
      <alignment horizontal="right"/>
    </xf>
    <xf numFmtId="0" fontId="2" fillId="7" borderId="44" xfId="0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>
      <alignment horizontal="center"/>
    </xf>
    <xf numFmtId="0" fontId="29" fillId="4" borderId="26" xfId="0" applyFont="1" applyFill="1" applyBorder="1" applyAlignment="1" applyProtection="1">
      <alignment horizontal="left"/>
    </xf>
    <xf numFmtId="0" fontId="29" fillId="4" borderId="26" xfId="0" applyFont="1" applyFill="1" applyBorder="1" applyAlignment="1" applyProtection="1">
      <alignment horizontal="right"/>
    </xf>
    <xf numFmtId="0" fontId="2" fillId="15" borderId="3" xfId="0" applyFont="1" applyFill="1" applyBorder="1" applyAlignment="1" applyProtection="1">
      <alignment horizontal="right" readingOrder="2"/>
    </xf>
    <xf numFmtId="0" fontId="0" fillId="15" borderId="4" xfId="0" applyFont="1" applyFill="1" applyBorder="1" applyProtection="1"/>
    <xf numFmtId="10" fontId="2" fillId="15" borderId="4" xfId="2" applyNumberFormat="1" applyFont="1" applyFill="1" applyBorder="1" applyProtection="1"/>
    <xf numFmtId="10" fontId="0" fillId="15" borderId="5" xfId="2" applyNumberFormat="1" applyFont="1" applyFill="1" applyBorder="1" applyProtection="1"/>
    <xf numFmtId="0" fontId="21" fillId="15" borderId="60" xfId="0" applyFont="1" applyFill="1" applyBorder="1" applyAlignment="1" applyProtection="1">
      <alignment horizontal="right" indent="2"/>
    </xf>
    <xf numFmtId="0" fontId="21" fillId="15" borderId="61" xfId="0" applyFont="1" applyFill="1" applyBorder="1" applyAlignment="1" applyProtection="1"/>
    <xf numFmtId="0" fontId="21" fillId="15" borderId="62" xfId="0" applyFont="1" applyFill="1" applyBorder="1" applyAlignment="1" applyProtection="1"/>
    <xf numFmtId="0" fontId="0" fillId="15" borderId="63" xfId="0" applyFont="1" applyFill="1" applyBorder="1" applyProtection="1"/>
    <xf numFmtId="0" fontId="0" fillId="15" borderId="0" xfId="0" applyFont="1" applyFill="1" applyBorder="1" applyProtection="1"/>
    <xf numFmtId="0" fontId="0" fillId="15" borderId="64" xfId="0" applyFont="1" applyFill="1" applyBorder="1" applyProtection="1"/>
    <xf numFmtId="0" fontId="0" fillId="15" borderId="63" xfId="0" applyFont="1" applyFill="1" applyBorder="1" applyAlignment="1" applyProtection="1">
      <alignment horizontal="right" indent="5"/>
    </xf>
    <xf numFmtId="0" fontId="28" fillId="15" borderId="0" xfId="0" applyFont="1" applyFill="1" applyBorder="1" applyProtection="1"/>
    <xf numFmtId="0" fontId="0" fillId="15" borderId="65" xfId="0" applyFont="1" applyFill="1" applyBorder="1" applyProtection="1"/>
    <xf numFmtId="0" fontId="0" fillId="15" borderId="66" xfId="0" applyFont="1" applyFill="1" applyBorder="1" applyProtection="1"/>
    <xf numFmtId="0" fontId="0" fillId="15" borderId="67" xfId="0" applyFont="1" applyFill="1" applyBorder="1" applyProtection="1"/>
  </cellXfs>
  <cellStyles count="9">
    <cellStyle name="Comma" xfId="1" builtinId="3"/>
    <cellStyle name="Currency 2" xfId="4" xr:uid="{629B883B-400F-BC49-B51C-645A5DB30C7C}"/>
    <cellStyle name="Hyperlink" xfId="7" builtinId="8"/>
    <cellStyle name="Input" xfId="8" builtinId="20"/>
    <cellStyle name="Normal" xfId="0" builtinId="0"/>
    <cellStyle name="Normal_Fund Pro Forma v7a" xfId="3" xr:uid="{37895084-6685-4B43-A2CF-0AF5E2796611}"/>
    <cellStyle name="Normal_TH-OP95" xfId="6" xr:uid="{D64A7A54-7288-9144-96BD-49F19D447D58}"/>
    <cellStyle name="Percent" xfId="2" builtinId="5"/>
    <cellStyle name="Percent 2" xfId="5" xr:uid="{C355DD02-6821-0149-8959-D07CD3665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948664561105"/>
          <c:y val="9.9405926669794337E-2"/>
          <c:w val="0.82681029737988199"/>
          <c:h val="0.76948262772246989"/>
        </c:manualLayout>
      </c:layout>
      <c:areaChart>
        <c:grouping val="stacked"/>
        <c:varyColors val="0"/>
        <c:ser>
          <c:idx val="0"/>
          <c:order val="0"/>
          <c:tx>
            <c:strRef>
              <c:f>'Proforma - 5 Year'!$C$88</c:f>
              <c:strCache>
                <c:ptCount val="1"/>
                <c:pt idx="0">
                  <c:v>עליית ערך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'Proforma - 5 Year'!$D$95:$H$95</c:f>
              <c:numCache>
                <c:formatCode>"$"#,##0_);\("$"#,##0\)</c:formatCode>
                <c:ptCount val="5"/>
                <c:pt idx="0">
                  <c:v>2925</c:v>
                </c:pt>
                <c:pt idx="1">
                  <c:v>5959.6875</c:v>
                </c:pt>
                <c:pt idx="2">
                  <c:v>9108.1757812500146</c:v>
                </c:pt>
                <c:pt idx="3">
                  <c:v>12374.732373046892</c:v>
                </c:pt>
                <c:pt idx="4">
                  <c:v>15763.784837036161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8-2F48-B626-BC07D3F47C8E}"/>
            </c:ext>
          </c:extLst>
        </c:ser>
        <c:ser>
          <c:idx val="1"/>
          <c:order val="1"/>
          <c:tx>
            <c:strRef>
              <c:f>'Proforma - 5 Year'!$C$89</c:f>
              <c:strCache>
                <c:ptCount val="1"/>
                <c:pt idx="0">
                  <c:v>רווחי שכירות | תזרים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'Proforma - 5 Year'!$D$96:$H$96</c:f>
              <c:numCache>
                <c:formatCode>"$"#,##0_);\("$"#,##0\)</c:formatCode>
                <c:ptCount val="5"/>
                <c:pt idx="0">
                  <c:v>4680.6456714507622</c:v>
                </c:pt>
                <c:pt idx="1">
                  <c:v>8956.9163429015225</c:v>
                </c:pt>
                <c:pt idx="2">
                  <c:v>13459.327639352281</c:v>
                </c:pt>
                <c:pt idx="3">
                  <c:v>18193.533076428037</c:v>
                </c:pt>
                <c:pt idx="4">
                  <c:v>23165.327507644419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8-2F48-B626-BC07D3F47C8E}"/>
            </c:ext>
          </c:extLst>
        </c:ser>
        <c:ser>
          <c:idx val="2"/>
          <c:order val="2"/>
          <c:tx>
            <c:strRef>
              <c:f>'Proforma - 5 Year'!$C$90</c:f>
              <c:strCache>
                <c:ptCount val="1"/>
                <c:pt idx="0">
                  <c:v>רווחי שכירות | כיסוי קרן משכנתא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val>
            <c:numRef>
              <c:f>'Proforma - 5 Year'!$D$97:$H$97</c:f>
              <c:numCache>
                <c:formatCode>"$"#,##0_);\("$"#,##0\)</c:formatCode>
                <c:ptCount val="5"/>
                <c:pt idx="0">
                  <c:v>1322.6144319185159</c:v>
                </c:pt>
                <c:pt idx="1">
                  <c:v>2675.2965026004522</c:v>
                </c:pt>
                <c:pt idx="2">
                  <c:v>4058.7297543382492</c:v>
                </c:pt>
                <c:pt idx="3">
                  <c:v>5473.6132687245636</c:v>
                </c:pt>
                <c:pt idx="4">
                  <c:v>6920.6620199147574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8-2F48-B626-BC07D3F47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32912"/>
        <c:axId val="292195312"/>
      </c:areaChart>
      <c:dateAx>
        <c:axId val="292532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dbl" algn="ctr">
            <a:solidFill>
              <a:schemeClr val="tx2">
                <a:lumMod val="15000"/>
                <a:lumOff val="85000"/>
              </a:schemeClr>
            </a:solidFill>
            <a:round/>
            <a:headEnd type="none"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95312"/>
        <c:crosses val="autoZero"/>
        <c:auto val="0"/>
        <c:lblOffset val="100"/>
        <c:baseTimeUnit val="days"/>
      </c:dateAx>
      <c:valAx>
        <c:axId val="2921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3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790126337420533"/>
          <c:y val="0.19189216805452247"/>
          <c:w val="0.3801664502679214"/>
          <c:h val="0.34012591023511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5340754522908"/>
          <c:y val="7.8475370959434229E-2"/>
          <c:w val="0.8273650077541238"/>
          <c:h val="0.68576086903749389"/>
        </c:manualLayout>
      </c:layout>
      <c:areaChart>
        <c:grouping val="stacked"/>
        <c:varyColors val="0"/>
        <c:ser>
          <c:idx val="0"/>
          <c:order val="0"/>
          <c:tx>
            <c:strRef>
              <c:f>'Proforma - 5 Year'!$C$88</c:f>
              <c:strCache>
                <c:ptCount val="1"/>
                <c:pt idx="0">
                  <c:v>עליית ערך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val>
            <c:numRef>
              <c:f>'Proforma - 5 Year'!$D$95:$H$95</c:f>
              <c:numCache>
                <c:formatCode>"$"#,##0_);\("$"#,##0\)</c:formatCode>
                <c:ptCount val="5"/>
                <c:pt idx="0">
                  <c:v>2925</c:v>
                </c:pt>
                <c:pt idx="1">
                  <c:v>5959.6875</c:v>
                </c:pt>
                <c:pt idx="2">
                  <c:v>9108.1757812500146</c:v>
                </c:pt>
                <c:pt idx="3">
                  <c:v>12374.732373046892</c:v>
                </c:pt>
                <c:pt idx="4">
                  <c:v>15763.784837036161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2-9B4C-9CB7-53F80C0101D0}"/>
            </c:ext>
          </c:extLst>
        </c:ser>
        <c:ser>
          <c:idx val="1"/>
          <c:order val="1"/>
          <c:tx>
            <c:strRef>
              <c:f>'Proforma - 5 Year'!$C$89</c:f>
              <c:strCache>
                <c:ptCount val="1"/>
                <c:pt idx="0">
                  <c:v>רווחי שכירות | תזרים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val>
            <c:numRef>
              <c:f>'Proforma - 5 Year'!$D$96:$H$96</c:f>
              <c:numCache>
                <c:formatCode>"$"#,##0_);\("$"#,##0\)</c:formatCode>
                <c:ptCount val="5"/>
                <c:pt idx="0">
                  <c:v>4680.6456714507622</c:v>
                </c:pt>
                <c:pt idx="1">
                  <c:v>8956.9163429015225</c:v>
                </c:pt>
                <c:pt idx="2">
                  <c:v>13459.327639352281</c:v>
                </c:pt>
                <c:pt idx="3">
                  <c:v>18193.533076428037</c:v>
                </c:pt>
                <c:pt idx="4">
                  <c:v>23165.327507644419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2-9B4C-9CB7-53F80C0101D0}"/>
            </c:ext>
          </c:extLst>
        </c:ser>
        <c:ser>
          <c:idx val="2"/>
          <c:order val="2"/>
          <c:tx>
            <c:strRef>
              <c:f>'Proforma - 5 Year'!$C$90</c:f>
              <c:strCache>
                <c:ptCount val="1"/>
                <c:pt idx="0">
                  <c:v>רווחי שכירות | כיסוי קרן משכנתא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val>
            <c:numRef>
              <c:f>'Proforma - 5 Year'!$D$97:$H$97</c:f>
              <c:numCache>
                <c:formatCode>"$"#,##0_);\("$"#,##0\)</c:formatCode>
                <c:ptCount val="5"/>
                <c:pt idx="0">
                  <c:v>1322.6144319185159</c:v>
                </c:pt>
                <c:pt idx="1">
                  <c:v>2675.2965026004522</c:v>
                </c:pt>
                <c:pt idx="2">
                  <c:v>4058.7297543382492</c:v>
                </c:pt>
                <c:pt idx="3">
                  <c:v>5473.6132687245636</c:v>
                </c:pt>
                <c:pt idx="4">
                  <c:v>6920.6620199147574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2-9B4C-9CB7-53F80C010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32912"/>
        <c:axId val="292195312"/>
      </c:areaChart>
      <c:dateAx>
        <c:axId val="292532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dbl" algn="ctr">
            <a:solidFill>
              <a:schemeClr val="tx2">
                <a:lumMod val="15000"/>
                <a:lumOff val="85000"/>
              </a:schemeClr>
            </a:solidFill>
            <a:round/>
            <a:headEnd type="none"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95312"/>
        <c:crosses val="autoZero"/>
        <c:auto val="0"/>
        <c:lblOffset val="100"/>
        <c:baseTimeUnit val="days"/>
      </c:dateAx>
      <c:valAx>
        <c:axId val="2921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3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444280728662826"/>
          <c:y val="4.5378802270554075E-2"/>
          <c:w val="0.24310771698234399"/>
          <c:h val="0.34012591023511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4989</xdr:colOff>
      <xdr:row>1</xdr:row>
      <xdr:rowOff>38100</xdr:rowOff>
    </xdr:from>
    <xdr:to>
      <xdr:col>5</xdr:col>
      <xdr:colOff>1079500</xdr:colOff>
      <xdr:row>19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D56281-2DEB-D84D-84B7-3380A303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0127900" y="241300"/>
          <a:ext cx="5329011" cy="3873500"/>
        </a:xfrm>
        <a:prstGeom prst="rect">
          <a:avLst/>
        </a:prstGeom>
        <a:ln w="15875">
          <a:solidFill>
            <a:srgbClr val="FFC000"/>
          </a:solidFill>
        </a:ln>
        <a:effectLst>
          <a:outerShdw blurRad="101600" dist="50800" dir="5400000" algn="ctr" rotWithShape="0">
            <a:srgbClr val="000000">
              <a:alpha val="60000"/>
            </a:srgbClr>
          </a:outerShdw>
        </a:effectLst>
      </xdr:spPr>
    </xdr:pic>
    <xdr:clientData/>
  </xdr:twoCellAnchor>
  <xdr:twoCellAnchor>
    <xdr:from>
      <xdr:col>5</xdr:col>
      <xdr:colOff>609600</xdr:colOff>
      <xdr:row>52</xdr:row>
      <xdr:rowOff>190500</xdr:rowOff>
    </xdr:from>
    <xdr:to>
      <xdr:col>8</xdr:col>
      <xdr:colOff>495300</xdr:colOff>
      <xdr:row>55</xdr:row>
      <xdr:rowOff>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EBE185CD-6B36-FB47-B979-9EB1D292BE61}"/>
            </a:ext>
          </a:extLst>
        </xdr:cNvPr>
        <xdr:cNvSpPr/>
      </xdr:nvSpPr>
      <xdr:spPr>
        <a:xfrm>
          <a:off x="13518845200" y="10668000"/>
          <a:ext cx="1752600" cy="431800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8</xdr:col>
      <xdr:colOff>1</xdr:colOff>
      <xdr:row>20</xdr:row>
      <xdr:rowOff>84667</xdr:rowOff>
    </xdr:from>
    <xdr:to>
      <xdr:col>11</xdr:col>
      <xdr:colOff>1119839</xdr:colOff>
      <xdr:row>29</xdr:row>
      <xdr:rowOff>25381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ED5AF8-16F4-9144-817E-4E2F13F70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38100</xdr:colOff>
      <xdr:row>0</xdr:row>
      <xdr:rowOff>12700</xdr:rowOff>
    </xdr:from>
    <xdr:to>
      <xdr:col>16</xdr:col>
      <xdr:colOff>139700</xdr:colOff>
      <xdr:row>24</xdr:row>
      <xdr:rowOff>0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9C4238FE-B4F3-8649-8AB8-06C5D2C2050C}"/>
            </a:ext>
          </a:extLst>
        </xdr:cNvPr>
        <xdr:cNvSpPr/>
      </xdr:nvSpPr>
      <xdr:spPr>
        <a:xfrm>
          <a:off x="13511644300" y="12700"/>
          <a:ext cx="1752600" cy="4838700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r" rtl="1"/>
          <a:r>
            <a:rPr lang="he-IL" sz="2400" b="0">
              <a:solidFill>
                <a:schemeClr val="accent6">
                  <a:lumMod val="75000"/>
                </a:schemeClr>
              </a:solidFill>
              <a:effectLst>
                <a:outerShdw blurRad="50800" dist="50800" dir="5400000" algn="ctr" rotWithShape="0">
                  <a:schemeClr val="tx1"/>
                </a:outerShdw>
              </a:effectLst>
            </a:rPr>
            <a:t>שדות</a:t>
          </a:r>
          <a:r>
            <a:rPr lang="he-IL" sz="2400" b="0" baseline="0">
              <a:solidFill>
                <a:schemeClr val="accent6">
                  <a:lumMod val="75000"/>
                </a:schemeClr>
              </a:solidFill>
              <a:effectLst>
                <a:outerShdw blurRad="50800" dist="50800" dir="5400000" algn="ctr" rotWithShape="0">
                  <a:schemeClr val="tx1"/>
                </a:outerShdw>
              </a:effectLst>
            </a:rPr>
            <a:t> הזנה </a:t>
          </a:r>
          <a:endParaRPr lang="en-US" sz="2400" b="0">
            <a:solidFill>
              <a:schemeClr val="accent6">
                <a:lumMod val="75000"/>
              </a:schemeClr>
            </a:solidFill>
            <a:effectLst>
              <a:outerShdw blurRad="50800" dist="50800" dir="5400000" algn="ctr" rotWithShape="0">
                <a:schemeClr val="tx1"/>
              </a:outerShdw>
            </a:effectLst>
          </a:endParaRPr>
        </a:p>
      </xdr:txBody>
    </xdr:sp>
    <xdr:clientData/>
  </xdr:twoCellAnchor>
  <xdr:twoCellAnchor>
    <xdr:from>
      <xdr:col>14</xdr:col>
      <xdr:colOff>533400</xdr:colOff>
      <xdr:row>53</xdr:row>
      <xdr:rowOff>139700</xdr:rowOff>
    </xdr:from>
    <xdr:to>
      <xdr:col>15</xdr:col>
      <xdr:colOff>139700</xdr:colOff>
      <xdr:row>62</xdr:row>
      <xdr:rowOff>50800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51C7EF5E-E6F5-F047-B349-57CD64A2EF9C}"/>
            </a:ext>
          </a:extLst>
        </xdr:cNvPr>
        <xdr:cNvSpPr/>
      </xdr:nvSpPr>
      <xdr:spPr>
        <a:xfrm rot="16200000">
          <a:off x="13511809400" y="11480800"/>
          <a:ext cx="1752600" cy="431800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15</xdr:col>
      <xdr:colOff>88900</xdr:colOff>
      <xdr:row>24</xdr:row>
      <xdr:rowOff>0</xdr:rowOff>
    </xdr:from>
    <xdr:to>
      <xdr:col>15</xdr:col>
      <xdr:colOff>127000</xdr:colOff>
      <xdr:row>55</xdr:row>
      <xdr:rowOff>165100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257345D-4A7C-6B45-A05B-C51BCBA85E99}"/>
            </a:ext>
          </a:extLst>
        </xdr:cNvPr>
        <xdr:cNvCxnSpPr>
          <a:endCxn id="6" idx="2"/>
        </xdr:cNvCxnSpPr>
      </xdr:nvCxnSpPr>
      <xdr:spPr>
        <a:xfrm flipV="1">
          <a:off x="13512482500" y="4851400"/>
          <a:ext cx="38100" cy="6413500"/>
        </a:xfrm>
        <a:prstGeom prst="line">
          <a:avLst/>
        </a:prstGeom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>
          <a:outerShdw blurRad="50800" dist="50800" dir="5400000" algn="ctr" rotWithShape="0">
            <a:schemeClr val="accent4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825500</xdr:colOff>
      <xdr:row>18</xdr:row>
      <xdr:rowOff>139700</xdr:rowOff>
    </xdr:from>
    <xdr:to>
      <xdr:col>5</xdr:col>
      <xdr:colOff>63500</xdr:colOff>
      <xdr:row>20</xdr:row>
      <xdr:rowOff>127000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78259F5-4ACF-1E4A-9E9B-FC163BF61A82}"/>
            </a:ext>
          </a:extLst>
        </xdr:cNvPr>
        <xdr:cNvSpPr txBox="1"/>
      </xdr:nvSpPr>
      <xdr:spPr>
        <a:xfrm>
          <a:off x="13521143900" y="3746500"/>
          <a:ext cx="3492500" cy="3937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n-US" sz="1200">
              <a:latin typeface="Trebuchet MS" panose="020B0703020202090204" pitchFamily="34" charset="0"/>
            </a:rPr>
            <a:t>NadlanUSA.co.il</a:t>
          </a:r>
          <a:r>
            <a:rPr lang="en-US" sz="1200" baseline="0">
              <a:latin typeface="Trebuchet MS" panose="020B0703020202090204" pitchFamily="34" charset="0"/>
            </a:rPr>
            <a:t> </a:t>
          </a:r>
          <a:r>
            <a:rPr lang="he-IL" sz="1200" baseline="0">
              <a:latin typeface="Trebuchet MS" panose="020B0703020202090204" pitchFamily="34" charset="0"/>
            </a:rPr>
            <a:t> | הבית שלך לנדל"ן אמריקאי</a:t>
          </a:r>
          <a:endParaRPr lang="en-US" sz="1200">
            <a:latin typeface="Trebuchet MS" panose="020B070302020209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787016</xdr:colOff>
      <xdr:row>110</xdr:row>
      <xdr:rowOff>121920</xdr:rowOff>
    </xdr:from>
    <xdr:to>
      <xdr:col>11</xdr:col>
      <xdr:colOff>833120</xdr:colOff>
      <xdr:row>122</xdr:row>
      <xdr:rowOff>60959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470EDB-3C61-9E4F-81DB-DF33A0598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sraelharris/Documents/1-A-Devlopment/B/VUE/j-dek%20analysis%20the%20v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- 5 Year"/>
      <sheetName val="Proforma - 1 Year v. Historical"/>
      <sheetName val="Input - General"/>
      <sheetName val="Unit Mix"/>
      <sheetName val="Input - Income Projection"/>
      <sheetName val="Input - Year 1 Budget"/>
      <sheetName val="Input - 5 Year Capex Budget"/>
      <sheetName val="Auto Calc - Loan Acq"/>
      <sheetName val="Visited Comps"/>
      <sheetName val="Deal Highlights"/>
      <sheetName val="exit cap rate"/>
      <sheetName val="Sheet2"/>
      <sheetName val="SPNA Cash return"/>
      <sheetName val="Sheet1"/>
    </sheetNames>
    <sheetDataSet>
      <sheetData sheetId="0"/>
      <sheetData sheetId="1"/>
      <sheetData sheetId="2">
        <row r="91">
          <cell r="C91">
            <v>5173295.5303107044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nadlanusa.co.il/" TargetMode="External"/><Relationship Id="rId1" Type="http://schemas.openxmlformats.org/officeDocument/2006/relationships/hyperlink" Target="https://nadlanusa.co.i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ECBD-B3A1-904A-ACA6-C3F3A5D603FF}">
  <sheetPr codeName="Sheet1"/>
  <dimension ref="A1:X362"/>
  <sheetViews>
    <sheetView rightToLeft="1" tabSelected="1" zoomScaleNormal="100" workbookViewId="0">
      <selection activeCell="L65" sqref="L65"/>
    </sheetView>
  </sheetViews>
  <sheetFormatPr baseColWidth="10" defaultRowHeight="16"/>
  <cols>
    <col min="1" max="1" width="2.1640625" style="184" customWidth="1"/>
    <col min="2" max="2" width="4.33203125" style="186" customWidth="1"/>
    <col min="3" max="3" width="26.1640625" style="186" customWidth="1"/>
    <col min="4" max="6" width="14.83203125" style="186" customWidth="1"/>
    <col min="7" max="7" width="4.83203125" style="186" customWidth="1"/>
    <col min="8" max="8" width="4.83203125" style="184" customWidth="1"/>
    <col min="9" max="9" width="26.1640625" style="184" customWidth="1"/>
    <col min="10" max="12" width="14.83203125" style="184" customWidth="1"/>
    <col min="13" max="13" width="4.33203125" style="202" customWidth="1"/>
    <col min="14" max="14" width="2.5" style="184" customWidth="1"/>
    <col min="15" max="24" width="10.83203125" style="184"/>
    <col min="25" max="16384" width="10.83203125" style="186"/>
  </cols>
  <sheetData>
    <row r="1" spans="1:24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24">
      <c r="B2" s="187"/>
      <c r="C2" s="328"/>
      <c r="D2" s="328"/>
      <c r="E2" s="328"/>
      <c r="F2" s="328"/>
      <c r="G2" s="189"/>
      <c r="H2" s="188"/>
      <c r="I2" s="190"/>
      <c r="J2" s="191" t="s">
        <v>142</v>
      </c>
      <c r="K2" s="192"/>
      <c r="L2" s="192"/>
      <c r="M2" s="189"/>
    </row>
    <row r="3" spans="1:24" s="198" customFormat="1" ht="17" thickBot="1">
      <c r="A3" s="265"/>
      <c r="B3" s="266"/>
      <c r="C3" s="329"/>
      <c r="D3" s="329"/>
      <c r="E3" s="329"/>
      <c r="F3" s="329"/>
      <c r="G3" s="268"/>
      <c r="H3" s="267"/>
      <c r="I3" s="267"/>
      <c r="J3" s="267"/>
      <c r="K3" s="267"/>
      <c r="L3" s="267"/>
      <c r="M3" s="268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s="198" customFormat="1" ht="17" thickBot="1">
      <c r="A4" s="265"/>
      <c r="B4" s="266"/>
      <c r="C4" s="329"/>
      <c r="D4" s="329"/>
      <c r="E4" s="329"/>
      <c r="F4" s="329"/>
      <c r="G4" s="268"/>
      <c r="H4" s="267"/>
      <c r="I4" s="193" t="s">
        <v>43</v>
      </c>
      <c r="J4" s="194"/>
      <c r="K4" s="194"/>
      <c r="L4" s="195"/>
      <c r="M4" s="268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</row>
    <row r="5" spans="1:24" s="198" customFormat="1">
      <c r="A5" s="265"/>
      <c r="B5" s="266"/>
      <c r="C5" s="329"/>
      <c r="D5" s="329"/>
      <c r="E5" s="329"/>
      <c r="F5" s="329"/>
      <c r="G5" s="268"/>
      <c r="H5" s="267"/>
      <c r="M5" s="268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</row>
    <row r="6" spans="1:24" s="198" customFormat="1" ht="17" thickBot="1">
      <c r="A6" s="265"/>
      <c r="B6" s="266"/>
      <c r="C6" s="329"/>
      <c r="D6" s="329"/>
      <c r="E6" s="329"/>
      <c r="F6" s="329"/>
      <c r="G6" s="268"/>
      <c r="H6" s="267"/>
      <c r="I6" s="196" t="s">
        <v>14</v>
      </c>
      <c r="J6" s="196"/>
      <c r="K6" s="197" t="s">
        <v>121</v>
      </c>
      <c r="L6" s="313">
        <f>F24</f>
        <v>78000</v>
      </c>
      <c r="M6" s="268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</row>
    <row r="7" spans="1:24" s="198" customFormat="1" ht="17" thickTop="1">
      <c r="A7" s="265"/>
      <c r="B7" s="266"/>
      <c r="C7" s="329"/>
      <c r="D7" s="329"/>
      <c r="E7" s="329"/>
      <c r="F7" s="329"/>
      <c r="G7" s="268"/>
      <c r="H7" s="267"/>
      <c r="I7" s="198" t="s">
        <v>7</v>
      </c>
      <c r="K7" s="199" t="s">
        <v>8</v>
      </c>
      <c r="L7" s="199" t="s">
        <v>12</v>
      </c>
      <c r="M7" s="268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</row>
    <row r="8" spans="1:24" s="198" customFormat="1">
      <c r="A8" s="265"/>
      <c r="B8" s="266"/>
      <c r="C8" s="329"/>
      <c r="D8" s="329"/>
      <c r="E8" s="329"/>
      <c r="F8" s="329"/>
      <c r="G8" s="268"/>
      <c r="H8" s="267"/>
      <c r="I8" s="198" t="s">
        <v>122</v>
      </c>
      <c r="J8" s="200"/>
      <c r="K8" s="314">
        <f>L6-L8</f>
        <v>54600</v>
      </c>
      <c r="L8" s="201">
        <f>L6*L65</f>
        <v>23400</v>
      </c>
      <c r="M8" s="268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</row>
    <row r="9" spans="1:24" s="198" customFormat="1">
      <c r="A9" s="265"/>
      <c r="B9" s="266"/>
      <c r="C9" s="329"/>
      <c r="D9" s="329"/>
      <c r="E9" s="329"/>
      <c r="F9" s="329"/>
      <c r="G9" s="268"/>
      <c r="H9" s="267"/>
      <c r="I9" s="198" t="s">
        <v>137</v>
      </c>
      <c r="J9" s="200"/>
      <c r="K9" s="314"/>
      <c r="L9" s="201">
        <f>F60</f>
        <v>0</v>
      </c>
      <c r="M9" s="268"/>
      <c r="N9" s="265"/>
      <c r="O9" s="265"/>
      <c r="P9" s="265"/>
      <c r="Q9" s="265"/>
      <c r="R9" s="265"/>
      <c r="S9" s="259"/>
      <c r="T9" s="265"/>
      <c r="U9" s="265"/>
      <c r="V9" s="265"/>
      <c r="W9" s="265"/>
      <c r="X9" s="265"/>
    </row>
    <row r="10" spans="1:24" s="198" customFormat="1">
      <c r="A10" s="265"/>
      <c r="B10" s="266"/>
      <c r="C10" s="329"/>
      <c r="D10" s="329"/>
      <c r="E10" s="329"/>
      <c r="F10" s="329"/>
      <c r="G10" s="268"/>
      <c r="H10" s="267"/>
      <c r="I10" s="269" t="s">
        <v>158</v>
      </c>
      <c r="J10" s="203"/>
      <c r="K10" s="315">
        <f>IF(L65=100%,0,K8*0.004+350+300+K8*1%)</f>
        <v>1414.4</v>
      </c>
      <c r="L10" s="315">
        <f>L6*0.00575/2+870</f>
        <v>1094.25</v>
      </c>
      <c r="M10" s="268"/>
      <c r="N10" s="265"/>
      <c r="O10" s="265"/>
      <c r="P10" s="265"/>
      <c r="Q10" s="265"/>
      <c r="R10" s="265"/>
      <c r="S10" s="259"/>
      <c r="T10" s="265"/>
      <c r="U10" s="265"/>
      <c r="V10" s="265"/>
      <c r="W10" s="265"/>
      <c r="X10" s="265"/>
    </row>
    <row r="11" spans="1:24" s="198" customFormat="1">
      <c r="A11" s="265"/>
      <c r="B11" s="266"/>
      <c r="C11" s="329"/>
      <c r="D11" s="329"/>
      <c r="E11" s="329"/>
      <c r="F11" s="329"/>
      <c r="G11" s="268"/>
      <c r="H11" s="267"/>
      <c r="I11" s="204" t="s">
        <v>123</v>
      </c>
      <c r="J11" s="270"/>
      <c r="K11" s="205">
        <f>SUM(K8:K10)</f>
        <v>56014.400000000001</v>
      </c>
      <c r="L11" s="205">
        <f>SUM(L8:L10)</f>
        <v>24494.25</v>
      </c>
      <c r="M11" s="268"/>
      <c r="N11" s="265"/>
      <c r="O11" s="265"/>
      <c r="P11" s="265"/>
      <c r="Q11" s="265"/>
      <c r="R11" s="265"/>
      <c r="S11" s="259"/>
      <c r="T11" s="265"/>
      <c r="U11" s="265"/>
      <c r="V11" s="265"/>
      <c r="W11" s="265"/>
      <c r="X11" s="265"/>
    </row>
    <row r="12" spans="1:24" s="198" customFormat="1">
      <c r="A12" s="265"/>
      <c r="B12" s="266"/>
      <c r="C12" s="329"/>
      <c r="D12" s="329"/>
      <c r="E12" s="329"/>
      <c r="F12" s="329"/>
      <c r="G12" s="268"/>
      <c r="H12" s="267"/>
      <c r="M12" s="268"/>
      <c r="N12" s="265"/>
      <c r="O12" s="265"/>
      <c r="P12" s="265"/>
      <c r="Q12" s="265"/>
      <c r="R12" s="265"/>
      <c r="S12" s="259"/>
      <c r="T12" s="265"/>
      <c r="U12" s="265"/>
      <c r="V12" s="265"/>
      <c r="W12" s="265"/>
      <c r="X12" s="265"/>
    </row>
    <row r="13" spans="1:24" s="198" customFormat="1">
      <c r="A13" s="265"/>
      <c r="B13" s="266"/>
      <c r="C13" s="329"/>
      <c r="D13" s="329"/>
      <c r="E13" s="329"/>
      <c r="F13" s="329"/>
      <c r="G13" s="268"/>
      <c r="H13" s="267"/>
      <c r="I13" s="206" t="s">
        <v>117</v>
      </c>
      <c r="J13" s="269"/>
      <c r="K13" s="206" t="s">
        <v>9</v>
      </c>
      <c r="L13" s="206" t="s">
        <v>10</v>
      </c>
      <c r="M13" s="268"/>
      <c r="N13" s="265"/>
      <c r="O13" s="265"/>
      <c r="P13" s="265"/>
      <c r="Q13" s="265"/>
      <c r="R13" s="265"/>
      <c r="S13" s="259"/>
      <c r="T13" s="265"/>
      <c r="U13" s="265"/>
      <c r="V13" s="265"/>
      <c r="W13" s="265"/>
      <c r="X13" s="265"/>
    </row>
    <row r="14" spans="1:24" s="198" customFormat="1">
      <c r="A14" s="265"/>
      <c r="B14" s="266"/>
      <c r="C14" s="329"/>
      <c r="D14" s="329"/>
      <c r="E14" s="329"/>
      <c r="F14" s="329"/>
      <c r="G14" s="268"/>
      <c r="H14" s="267"/>
      <c r="I14" s="198" t="s">
        <v>15</v>
      </c>
      <c r="K14" s="207">
        <f>E44</f>
        <v>6564.9999999999982</v>
      </c>
      <c r="L14" s="207">
        <f>K14/12</f>
        <v>547.08333333333314</v>
      </c>
      <c r="M14" s="268"/>
      <c r="N14" s="265"/>
      <c r="O14" s="265"/>
      <c r="P14" s="265"/>
      <c r="Q14" s="265"/>
      <c r="R14" s="265"/>
      <c r="S14" s="259"/>
      <c r="T14" s="265"/>
      <c r="U14" s="265"/>
      <c r="V14" s="265"/>
      <c r="W14" s="265"/>
      <c r="X14" s="265"/>
    </row>
    <row r="15" spans="1:24" s="198" customFormat="1" ht="17" thickBot="1">
      <c r="A15" s="265"/>
      <c r="B15" s="266"/>
      <c r="C15" s="329"/>
      <c r="D15" s="329"/>
      <c r="E15" s="329"/>
      <c r="F15" s="329"/>
      <c r="G15" s="268"/>
      <c r="H15" s="267"/>
      <c r="I15" s="198" t="s">
        <v>161</v>
      </c>
      <c r="J15" s="231">
        <f>'Proforma - 5 Year'!C40</f>
        <v>2.8217205853789915</v>
      </c>
      <c r="K15" s="208">
        <f>L15*12</f>
        <v>2569.3543285492369</v>
      </c>
      <c r="L15" s="209">
        <f>'Auto Calc - Loan Acq'!G3</f>
        <v>214.11286071243643</v>
      </c>
      <c r="M15" s="268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</row>
    <row r="16" spans="1:24" s="198" customFormat="1" ht="17" thickBot="1">
      <c r="A16" s="265"/>
      <c r="B16" s="266"/>
      <c r="C16" s="329"/>
      <c r="D16" s="329"/>
      <c r="E16" s="329"/>
      <c r="F16" s="329"/>
      <c r="G16" s="268"/>
      <c r="H16" s="267"/>
      <c r="I16" s="210" t="s">
        <v>13</v>
      </c>
      <c r="J16" s="211"/>
      <c r="K16" s="212">
        <f>K14-K15</f>
        <v>3995.6456714507613</v>
      </c>
      <c r="L16" s="213">
        <f>L14-L15</f>
        <v>332.97047262089671</v>
      </c>
      <c r="M16" s="268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</row>
    <row r="17" spans="1:24" s="198" customFormat="1">
      <c r="A17" s="265"/>
      <c r="B17" s="266"/>
      <c r="C17" s="329"/>
      <c r="D17" s="329"/>
      <c r="E17" s="329"/>
      <c r="F17" s="329"/>
      <c r="G17" s="268"/>
      <c r="H17" s="267"/>
      <c r="I17" s="198" t="s">
        <v>119</v>
      </c>
      <c r="K17" s="214">
        <f>K16/L11</f>
        <v>0.16312586306789395</v>
      </c>
      <c r="M17" s="268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</row>
    <row r="18" spans="1:24" s="198" customFormat="1">
      <c r="A18" s="265"/>
      <c r="B18" s="266"/>
      <c r="C18" s="329"/>
      <c r="D18" s="329"/>
      <c r="E18" s="329"/>
      <c r="F18" s="329"/>
      <c r="G18" s="268"/>
      <c r="H18" s="267"/>
      <c r="I18" s="198" t="s">
        <v>157</v>
      </c>
      <c r="K18" s="215">
        <f>'Auto Calc - Loan Acq'!K14</f>
        <v>1322.6144319185159</v>
      </c>
      <c r="L18" s="216">
        <f>K18/12</f>
        <v>110.217869326543</v>
      </c>
      <c r="M18" s="268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</row>
    <row r="19" spans="1:24" s="198" customFormat="1">
      <c r="A19" s="265"/>
      <c r="B19" s="266"/>
      <c r="C19" s="329"/>
      <c r="D19" s="329"/>
      <c r="E19" s="329"/>
      <c r="F19" s="329"/>
      <c r="G19" s="268"/>
      <c r="H19" s="267"/>
      <c r="I19" s="198" t="s">
        <v>118</v>
      </c>
      <c r="K19" s="207">
        <f>SUM(K16:K18)</f>
        <v>5318.423229232345</v>
      </c>
      <c r="L19" s="217">
        <f>SUM(L16:L18)</f>
        <v>443.18834194743971</v>
      </c>
      <c r="M19" s="268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</row>
    <row r="20" spans="1:24" s="198" customFormat="1">
      <c r="A20" s="265"/>
      <c r="B20" s="266"/>
      <c r="C20" s="329"/>
      <c r="D20" s="329"/>
      <c r="E20" s="329"/>
      <c r="F20" s="329"/>
      <c r="G20" s="268"/>
      <c r="H20" s="267"/>
      <c r="I20" s="198" t="s">
        <v>120</v>
      </c>
      <c r="K20" s="218">
        <f>K19/$L$11</f>
        <v>0.21712945810679424</v>
      </c>
      <c r="M20" s="268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1:24" s="198" customFormat="1" ht="17" thickBot="1">
      <c r="A21" s="265"/>
      <c r="B21" s="271"/>
      <c r="C21" s="272"/>
      <c r="D21" s="272"/>
      <c r="E21" s="272"/>
      <c r="F21" s="272"/>
      <c r="G21" s="273"/>
      <c r="I21" s="274"/>
      <c r="J21" s="219"/>
      <c r="K21" s="219"/>
      <c r="L21" s="219"/>
      <c r="M21" s="273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</row>
    <row r="22" spans="1:24" s="198" customFormat="1" ht="17" thickTop="1">
      <c r="A22" s="265"/>
      <c r="B22" s="271"/>
      <c r="C22" s="267"/>
      <c r="D22" s="275"/>
      <c r="E22" s="267"/>
      <c r="F22" s="267"/>
      <c r="G22" s="268"/>
      <c r="I22" s="274"/>
      <c r="J22" s="219"/>
      <c r="K22" s="219"/>
      <c r="L22" s="219"/>
      <c r="M22" s="268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</row>
    <row r="23" spans="1:24" s="198" customFormat="1">
      <c r="A23" s="265"/>
      <c r="B23" s="271"/>
      <c r="C23" s="337" t="s">
        <v>136</v>
      </c>
      <c r="D23" s="316"/>
      <c r="E23" s="316"/>
      <c r="F23" s="336" t="str">
        <f>F56</f>
        <v>XXX CLEVELAND OHIO</v>
      </c>
      <c r="G23" s="273"/>
      <c r="I23" s="274"/>
      <c r="J23" s="219"/>
      <c r="K23" s="219"/>
      <c r="L23" s="219"/>
      <c r="M23" s="273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</row>
    <row r="24" spans="1:24" s="198" customFormat="1">
      <c r="A24" s="265"/>
      <c r="B24" s="271"/>
      <c r="C24" s="220" t="s">
        <v>163</v>
      </c>
      <c r="D24" s="220"/>
      <c r="E24" s="220"/>
      <c r="F24" s="221">
        <f>F58+F59</f>
        <v>78000</v>
      </c>
      <c r="G24" s="273"/>
      <c r="I24" s="274"/>
      <c r="J24" s="219"/>
      <c r="K24" s="219"/>
      <c r="L24" s="219"/>
      <c r="M24" s="273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</row>
    <row r="25" spans="1:24" s="198" customFormat="1">
      <c r="A25" s="265"/>
      <c r="B25" s="271"/>
      <c r="G25" s="273"/>
      <c r="I25" s="274"/>
      <c r="J25" s="219"/>
      <c r="K25" s="219"/>
      <c r="L25" s="219"/>
      <c r="M25" s="273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</row>
    <row r="26" spans="1:24" s="198" customFormat="1">
      <c r="A26" s="265"/>
      <c r="B26" s="271"/>
      <c r="E26" s="222" t="s">
        <v>9</v>
      </c>
      <c r="F26" s="222" t="s">
        <v>10</v>
      </c>
      <c r="G26" s="273"/>
      <c r="I26" s="274"/>
      <c r="J26" s="219"/>
      <c r="K26" s="219"/>
      <c r="L26" s="219"/>
      <c r="M26" s="273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</row>
    <row r="27" spans="1:24" s="198" customFormat="1" ht="17" thickBot="1">
      <c r="A27" s="265"/>
      <c r="B27" s="271"/>
      <c r="C27" s="196" t="s">
        <v>11</v>
      </c>
      <c r="D27" s="276"/>
      <c r="E27" s="317">
        <f>F27*12</f>
        <v>12000</v>
      </c>
      <c r="F27" s="223">
        <f>L56</f>
        <v>1000</v>
      </c>
      <c r="G27" s="273"/>
      <c r="I27" s="274"/>
      <c r="J27" s="219"/>
      <c r="K27" s="219"/>
      <c r="L27" s="219"/>
      <c r="M27" s="273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</row>
    <row r="28" spans="1:24" s="198" customFormat="1" ht="17" thickTop="1">
      <c r="A28" s="265"/>
      <c r="B28" s="271"/>
      <c r="C28" s="318"/>
      <c r="D28" s="274"/>
      <c r="E28" s="274"/>
      <c r="F28" s="209"/>
      <c r="G28" s="273"/>
      <c r="I28" s="274"/>
      <c r="J28" s="219"/>
      <c r="K28" s="219"/>
      <c r="L28" s="219"/>
      <c r="M28" s="273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</row>
    <row r="29" spans="1:24" s="198" customFormat="1">
      <c r="A29" s="265"/>
      <c r="B29" s="271"/>
      <c r="C29" s="319" t="s">
        <v>0</v>
      </c>
      <c r="D29" s="320"/>
      <c r="E29" s="321" t="s">
        <v>9</v>
      </c>
      <c r="F29" s="277" t="s">
        <v>10</v>
      </c>
      <c r="G29" s="273"/>
      <c r="I29" s="274"/>
      <c r="J29" s="219"/>
      <c r="K29" s="219"/>
      <c r="L29" s="219"/>
      <c r="M29" s="273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</row>
    <row r="30" spans="1:24" s="198" customFormat="1" ht="17" thickBot="1">
      <c r="A30" s="265"/>
      <c r="B30" s="271"/>
      <c r="C30" s="278" t="s">
        <v>107</v>
      </c>
      <c r="D30" s="279"/>
      <c r="E30" s="260">
        <f>E27*-L57</f>
        <v>-1200</v>
      </c>
      <c r="F30" s="280">
        <f>E30/12</f>
        <v>-100</v>
      </c>
      <c r="G30" s="273"/>
      <c r="I30" s="274"/>
      <c r="J30" s="274"/>
      <c r="K30" s="274"/>
      <c r="L30" s="274"/>
      <c r="M30" s="273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</row>
    <row r="31" spans="1:24" s="198" customFormat="1" ht="17" thickBot="1">
      <c r="A31" s="265"/>
      <c r="B31" s="271"/>
      <c r="C31" s="278" t="s">
        <v>1</v>
      </c>
      <c r="D31" s="224"/>
      <c r="E31" s="260">
        <f>-L58</f>
        <v>-2000</v>
      </c>
      <c r="F31" s="280">
        <f t="shared" ref="F31:F34" si="0">E31/12</f>
        <v>-166.66666666666666</v>
      </c>
      <c r="G31" s="273"/>
      <c r="I31" s="225" t="s">
        <v>124</v>
      </c>
      <c r="J31" s="281"/>
      <c r="K31" s="226"/>
      <c r="L31" s="282"/>
      <c r="M31" s="273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</row>
    <row r="32" spans="1:24" s="198" customFormat="1">
      <c r="A32" s="265"/>
      <c r="B32" s="271"/>
      <c r="C32" s="278" t="s">
        <v>2</v>
      </c>
      <c r="D32" s="224"/>
      <c r="E32" s="260">
        <f>-L59</f>
        <v>-450</v>
      </c>
      <c r="F32" s="280">
        <f t="shared" si="0"/>
        <v>-37.5</v>
      </c>
      <c r="G32" s="273"/>
      <c r="I32" s="274"/>
      <c r="J32" s="215"/>
      <c r="K32" s="209"/>
      <c r="L32" s="227"/>
      <c r="M32" s="273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</row>
    <row r="33" spans="1:24" s="198" customFormat="1">
      <c r="A33" s="265"/>
      <c r="B33" s="271"/>
      <c r="C33" s="283" t="s">
        <v>3</v>
      </c>
      <c r="D33" s="261"/>
      <c r="E33" s="284">
        <f>-L60</f>
        <v>-200</v>
      </c>
      <c r="F33" s="285">
        <f t="shared" si="0"/>
        <v>-16.666666666666668</v>
      </c>
      <c r="G33" s="273"/>
      <c r="I33" s="262" t="s">
        <v>131</v>
      </c>
      <c r="J33" s="257"/>
      <c r="K33" s="258">
        <f>'Proforma - 5 Year'!B59</f>
        <v>0.25464277790182899</v>
      </c>
      <c r="L33" s="228"/>
      <c r="M33" s="273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</row>
    <row r="34" spans="1:24" s="198" customFormat="1">
      <c r="A34" s="265"/>
      <c r="B34" s="271"/>
      <c r="C34" s="322" t="s">
        <v>4</v>
      </c>
      <c r="D34" s="323"/>
      <c r="E34" s="324">
        <f>SUM(E30:E33)</f>
        <v>-3850</v>
      </c>
      <c r="F34" s="229">
        <f t="shared" si="0"/>
        <v>-320.83333333333331</v>
      </c>
      <c r="G34" s="273"/>
      <c r="I34" s="263" t="s">
        <v>125</v>
      </c>
      <c r="J34" s="259"/>
      <c r="K34" s="260">
        <f>'Proforma - 5 Year'!B60</f>
        <v>24494.25</v>
      </c>
      <c r="L34" s="286"/>
      <c r="M34" s="273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</row>
    <row r="35" spans="1:24" s="198" customFormat="1">
      <c r="A35" s="265"/>
      <c r="B35" s="271"/>
      <c r="F35" s="208"/>
      <c r="G35" s="273"/>
      <c r="I35" s="263" t="s">
        <v>126</v>
      </c>
      <c r="J35" s="259"/>
      <c r="K35" s="260">
        <f>'Proforma - 5 Year'!B61</f>
        <v>61271.909426002807</v>
      </c>
      <c r="L35" s="280"/>
      <c r="M35" s="273"/>
      <c r="N35" s="265"/>
      <c r="O35" s="265"/>
      <c r="P35" s="265"/>
      <c r="Q35" s="265"/>
      <c r="R35" s="259"/>
      <c r="S35" s="265"/>
      <c r="T35" s="265"/>
      <c r="U35" s="265"/>
      <c r="V35" s="265"/>
      <c r="W35" s="265"/>
      <c r="X35" s="265"/>
    </row>
    <row r="36" spans="1:24" s="198" customFormat="1">
      <c r="A36" s="265"/>
      <c r="B36" s="271"/>
      <c r="G36" s="273"/>
      <c r="I36" s="264" t="s">
        <v>127</v>
      </c>
      <c r="J36" s="261"/>
      <c r="K36" s="230">
        <f>'Proforma - 5 Year'!B62</f>
        <v>2.5014813446422246</v>
      </c>
      <c r="L36" s="287"/>
      <c r="M36" s="273"/>
      <c r="N36" s="265"/>
      <c r="O36" s="265"/>
      <c r="P36" s="265"/>
      <c r="Q36" s="265"/>
      <c r="R36" s="259"/>
      <c r="S36" s="265"/>
      <c r="T36" s="265"/>
      <c r="U36" s="265"/>
      <c r="V36" s="265"/>
      <c r="W36" s="265"/>
      <c r="X36" s="265"/>
    </row>
    <row r="37" spans="1:24" s="198" customFormat="1" ht="17" thickBot="1">
      <c r="A37" s="265"/>
      <c r="B37" s="271"/>
      <c r="C37" s="219" t="s">
        <v>6</v>
      </c>
      <c r="D37" s="219"/>
      <c r="E37" s="207">
        <f>E34+E27</f>
        <v>8150</v>
      </c>
      <c r="F37" s="207">
        <f>F34+F27</f>
        <v>679.16666666666674</v>
      </c>
      <c r="G37" s="273"/>
      <c r="I37" s="325"/>
      <c r="J37" s="274"/>
      <c r="K37" s="231"/>
      <c r="L37" s="288"/>
      <c r="M37" s="273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</row>
    <row r="38" spans="1:24" s="198" customFormat="1" ht="17" thickBot="1">
      <c r="A38" s="265"/>
      <c r="B38" s="271"/>
      <c r="C38" s="338" t="s">
        <v>5</v>
      </c>
      <c r="D38" s="339"/>
      <c r="E38" s="340">
        <f>E37/F24</f>
        <v>0.10448717948717949</v>
      </c>
      <c r="F38" s="341"/>
      <c r="G38" s="273"/>
      <c r="I38" s="326" t="s">
        <v>128</v>
      </c>
      <c r="J38" s="289"/>
      <c r="K38" s="290">
        <f>'Proforma - 5 Year'!B63</f>
        <v>36777.659426002807</v>
      </c>
      <c r="L38" s="291"/>
      <c r="M38" s="273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</row>
    <row r="39" spans="1:24" s="198" customFormat="1">
      <c r="A39" s="265"/>
      <c r="B39" s="271"/>
      <c r="G39" s="273"/>
      <c r="I39" s="263" t="s">
        <v>129</v>
      </c>
      <c r="J39" s="259"/>
      <c r="K39" s="232">
        <f>'Proforma - 5 Year'!B64</f>
        <v>1.5014813446422244</v>
      </c>
      <c r="L39" s="286"/>
      <c r="M39" s="273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</row>
    <row r="40" spans="1:24" s="198" customFormat="1">
      <c r="A40" s="265"/>
      <c r="B40" s="271"/>
      <c r="C40" s="332" t="s">
        <v>114</v>
      </c>
      <c r="D40" s="333"/>
      <c r="E40" s="333"/>
      <c r="F40" s="334"/>
      <c r="G40" s="273"/>
      <c r="I40" s="264" t="s">
        <v>130</v>
      </c>
      <c r="J40" s="261"/>
      <c r="K40" s="233">
        <f>'Proforma - 5 Year'!B65</f>
        <v>0.30029626892844485</v>
      </c>
      <c r="L40" s="292"/>
      <c r="M40" s="273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</row>
    <row r="41" spans="1:24" s="198" customFormat="1">
      <c r="A41" s="265"/>
      <c r="B41" s="271"/>
      <c r="C41" s="293" t="s">
        <v>40</v>
      </c>
      <c r="D41" s="259"/>
      <c r="E41" s="294">
        <f>'Proforma - 5 Year'!C29</f>
        <v>360</v>
      </c>
      <c r="F41" s="295">
        <f>F27*$L$62</f>
        <v>30</v>
      </c>
      <c r="G41" s="273"/>
      <c r="I41" s="274"/>
      <c r="J41" s="274"/>
      <c r="K41" s="209"/>
      <c r="L41" s="274"/>
      <c r="M41" s="273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</row>
    <row r="42" spans="1:24" s="198" customFormat="1">
      <c r="A42" s="265"/>
      <c r="B42" s="271"/>
      <c r="C42" s="293" t="s">
        <v>41</v>
      </c>
      <c r="D42" s="279"/>
      <c r="E42" s="294">
        <f>-'Proforma - 5 Year'!C19</f>
        <v>600.00000000000057</v>
      </c>
      <c r="F42" s="280">
        <f>E42/12</f>
        <v>50.00000000000005</v>
      </c>
      <c r="G42" s="273"/>
      <c r="I42" s="326" t="s">
        <v>135</v>
      </c>
      <c r="J42" s="289"/>
      <c r="K42" s="290">
        <f>'Proforma - 5 Year'!F59</f>
        <v>23165.327507644419</v>
      </c>
      <c r="L42" s="234">
        <f>K42/$K$45</f>
        <v>0.62987498033292189</v>
      </c>
      <c r="M42" s="273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</row>
    <row r="43" spans="1:24" s="198" customFormat="1">
      <c r="A43" s="265"/>
      <c r="B43" s="271"/>
      <c r="C43" s="293" t="s">
        <v>112</v>
      </c>
      <c r="D43" s="279"/>
      <c r="E43" s="294">
        <f>IF(J56=Sheet1!F4,0,(F27*'Proforma - 5 Year'!D11))</f>
        <v>625.00000000000057</v>
      </c>
      <c r="F43" s="280">
        <f>E43/12</f>
        <v>52.083333333333378</v>
      </c>
      <c r="G43" s="273"/>
      <c r="I43" s="263" t="s">
        <v>132</v>
      </c>
      <c r="J43" s="259"/>
      <c r="K43" s="260">
        <f>'Proforma - 5 Year'!F60</f>
        <v>6691.6698984436298</v>
      </c>
      <c r="L43" s="235">
        <f>K43/$K$45</f>
        <v>0.18194931387374905</v>
      </c>
      <c r="M43" s="273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</row>
    <row r="44" spans="1:24" s="198" customFormat="1">
      <c r="A44" s="265"/>
      <c r="B44" s="271"/>
      <c r="C44" s="256" t="s">
        <v>155</v>
      </c>
      <c r="D44" s="259"/>
      <c r="E44" s="236">
        <f>E37-E41-E42-E43</f>
        <v>6564.9999999999982</v>
      </c>
      <c r="F44" s="237">
        <f>F37-F41-F42-F43</f>
        <v>547.08333333333337</v>
      </c>
      <c r="G44" s="273"/>
      <c r="I44" s="264" t="s">
        <v>133</v>
      </c>
      <c r="J44" s="261"/>
      <c r="K44" s="284">
        <f>'Proforma - 5 Year'!F61</f>
        <v>6920.6620199147574</v>
      </c>
      <c r="L44" s="238">
        <f>K44/$K$45</f>
        <v>0.18817570579332901</v>
      </c>
      <c r="M44" s="273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s="198" customFormat="1">
      <c r="A45" s="265"/>
      <c r="B45" s="271"/>
      <c r="C45" s="239" t="s">
        <v>42</v>
      </c>
      <c r="D45" s="296"/>
      <c r="E45" s="240">
        <f>E44/F24</f>
        <v>8.416666666666664E-2</v>
      </c>
      <c r="F45" s="241"/>
      <c r="G45" s="273"/>
      <c r="I45" s="264" t="s">
        <v>134</v>
      </c>
      <c r="J45" s="261"/>
      <c r="K45" s="284">
        <f>'Proforma - 5 Year'!F62</f>
        <v>36777.659426002807</v>
      </c>
      <c r="L45" s="287">
        <f>SUM(L42:L44)</f>
        <v>0.99999999999999989</v>
      </c>
      <c r="M45" s="273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</row>
    <row r="46" spans="1:24" s="198" customFormat="1">
      <c r="A46" s="265"/>
      <c r="B46" s="271"/>
      <c r="G46" s="273"/>
      <c r="M46" s="273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</row>
    <row r="47" spans="1:24" s="198" customFormat="1">
      <c r="A47" s="265"/>
      <c r="B47" s="297"/>
      <c r="C47" s="298"/>
      <c r="D47" s="298"/>
      <c r="E47" s="299"/>
      <c r="F47" s="298"/>
      <c r="G47" s="300"/>
      <c r="H47" s="298"/>
      <c r="I47" s="298"/>
      <c r="J47" s="298"/>
      <c r="K47" s="299"/>
      <c r="L47" s="298"/>
      <c r="M47" s="301"/>
      <c r="N47" s="302"/>
      <c r="O47" s="265"/>
      <c r="P47" s="265"/>
      <c r="Q47" s="265"/>
      <c r="R47" s="265"/>
      <c r="S47" s="265"/>
      <c r="T47" s="265"/>
      <c r="U47" s="265"/>
      <c r="V47" s="265"/>
      <c r="W47" s="265"/>
      <c r="X47" s="265"/>
    </row>
    <row r="48" spans="1:24" s="198" customFormat="1" ht="4" customHeight="1" thickBot="1">
      <c r="A48" s="265"/>
      <c r="B48" s="259"/>
      <c r="C48" s="259"/>
      <c r="D48" s="259"/>
      <c r="E48" s="260"/>
      <c r="F48" s="259"/>
      <c r="G48" s="259"/>
      <c r="H48" s="259"/>
      <c r="I48" s="259"/>
      <c r="J48" s="259"/>
      <c r="K48" s="260"/>
      <c r="L48" s="259"/>
      <c r="M48" s="259"/>
      <c r="N48" s="259"/>
      <c r="O48" s="265"/>
      <c r="P48" s="265"/>
      <c r="Q48" s="265"/>
      <c r="R48" s="265"/>
      <c r="S48" s="265"/>
      <c r="T48" s="265"/>
      <c r="U48" s="265"/>
      <c r="V48" s="265"/>
      <c r="W48" s="265"/>
      <c r="X48" s="265"/>
    </row>
    <row r="49" spans="1:24" s="198" customFormat="1" ht="17" thickBot="1">
      <c r="A49" s="265"/>
      <c r="B49" s="303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</row>
    <row r="50" spans="1:24" s="198" customFormat="1">
      <c r="A50" s="265"/>
      <c r="B50" s="306"/>
      <c r="C50" s="342"/>
      <c r="D50" s="343"/>
      <c r="E50" s="343"/>
      <c r="F50" s="343" t="s">
        <v>143</v>
      </c>
      <c r="G50" s="343"/>
      <c r="H50" s="343"/>
      <c r="I50" s="343"/>
      <c r="J50" s="343"/>
      <c r="K50" s="343"/>
      <c r="L50" s="344"/>
      <c r="M50" s="307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</row>
    <row r="51" spans="1:24" s="198" customFormat="1">
      <c r="A51" s="265"/>
      <c r="B51" s="242"/>
      <c r="C51" s="345"/>
      <c r="D51" s="346"/>
      <c r="E51" s="346"/>
      <c r="F51" s="346"/>
      <c r="G51" s="346"/>
      <c r="H51" s="346"/>
      <c r="I51" s="346"/>
      <c r="J51" s="346"/>
      <c r="K51" s="346"/>
      <c r="L51" s="347"/>
      <c r="M51" s="307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</row>
    <row r="52" spans="1:24" s="198" customFormat="1">
      <c r="A52" s="265"/>
      <c r="B52" s="306"/>
      <c r="C52" s="348" t="s">
        <v>144</v>
      </c>
      <c r="D52" s="346"/>
      <c r="E52" s="349" t="s">
        <v>156</v>
      </c>
      <c r="F52" s="349"/>
      <c r="G52" s="349"/>
      <c r="H52" s="349"/>
      <c r="I52" s="349"/>
      <c r="J52" s="349"/>
      <c r="K52" s="346"/>
      <c r="L52" s="347"/>
      <c r="M52" s="307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</row>
    <row r="53" spans="1:24" s="198" customFormat="1">
      <c r="A53" s="265"/>
      <c r="B53" s="306"/>
      <c r="C53" s="345"/>
      <c r="D53" s="346"/>
      <c r="E53" s="346"/>
      <c r="F53" s="346"/>
      <c r="G53" s="346"/>
      <c r="H53" s="346"/>
      <c r="I53" s="346"/>
      <c r="J53" s="346"/>
      <c r="K53" s="346"/>
      <c r="L53" s="347"/>
      <c r="M53" s="307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</row>
    <row r="54" spans="1:24" s="198" customFormat="1" ht="17" thickBot="1">
      <c r="A54" s="265"/>
      <c r="B54" s="306"/>
      <c r="C54" s="350"/>
      <c r="D54" s="351"/>
      <c r="E54" s="351"/>
      <c r="F54" s="351"/>
      <c r="G54" s="351"/>
      <c r="H54" s="351"/>
      <c r="I54" s="351"/>
      <c r="J54" s="351"/>
      <c r="K54" s="351"/>
      <c r="L54" s="352"/>
      <c r="M54" s="307"/>
      <c r="N54" s="265"/>
      <c r="O54" s="265"/>
      <c r="P54" s="265"/>
      <c r="Q54" s="265"/>
      <c r="R54" s="259"/>
      <c r="S54" s="265"/>
      <c r="T54" s="265"/>
      <c r="U54" s="265"/>
      <c r="V54" s="265"/>
      <c r="W54" s="265"/>
      <c r="X54" s="265"/>
    </row>
    <row r="55" spans="1:24" s="198" customFormat="1">
      <c r="A55" s="265"/>
      <c r="B55" s="306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307"/>
      <c r="N55" s="265"/>
      <c r="O55" s="265"/>
      <c r="P55" s="265"/>
      <c r="Q55" s="265"/>
      <c r="R55" s="259"/>
      <c r="S55" s="265"/>
      <c r="T55" s="265"/>
      <c r="U55" s="265"/>
      <c r="V55" s="265"/>
      <c r="W55" s="265"/>
      <c r="X55" s="265"/>
    </row>
    <row r="56" spans="1:24" s="198" customFormat="1">
      <c r="A56" s="265"/>
      <c r="B56" s="306"/>
      <c r="C56" s="243" t="s">
        <v>108</v>
      </c>
      <c r="D56" s="253"/>
      <c r="E56" s="254"/>
      <c r="F56" s="255" t="s">
        <v>162</v>
      </c>
      <c r="G56" s="259"/>
      <c r="H56" s="259"/>
      <c r="I56" s="243" t="s">
        <v>150</v>
      </c>
      <c r="J56" s="247" t="s">
        <v>116</v>
      </c>
      <c r="K56" s="259"/>
      <c r="L56" s="330">
        <v>1000</v>
      </c>
      <c r="M56" s="307"/>
      <c r="N56" s="265"/>
      <c r="O56" s="265"/>
      <c r="P56" s="265"/>
      <c r="Q56" s="265"/>
      <c r="R56" s="259"/>
      <c r="S56" s="265"/>
      <c r="T56" s="265"/>
      <c r="U56" s="265"/>
      <c r="V56" s="265"/>
      <c r="W56" s="265"/>
      <c r="X56" s="265"/>
    </row>
    <row r="57" spans="1:24" s="198" customFormat="1">
      <c r="A57" s="265"/>
      <c r="B57" s="308"/>
      <c r="C57" s="243"/>
      <c r="D57" s="259"/>
      <c r="E57" s="259"/>
      <c r="F57" s="259"/>
      <c r="G57" s="259"/>
      <c r="H57" s="259"/>
      <c r="I57" s="243" t="s">
        <v>151</v>
      </c>
      <c r="J57" s="259"/>
      <c r="K57" s="259"/>
      <c r="L57" s="248">
        <v>0.1</v>
      </c>
      <c r="M57" s="307"/>
      <c r="N57" s="265"/>
      <c r="O57" s="265"/>
      <c r="P57" s="265"/>
      <c r="Q57" s="265"/>
      <c r="R57" s="259"/>
      <c r="S57" s="265"/>
      <c r="T57" s="265"/>
      <c r="U57" s="265"/>
      <c r="V57" s="265"/>
      <c r="W57" s="265"/>
      <c r="X57" s="265"/>
    </row>
    <row r="58" spans="1:24" s="198" customFormat="1">
      <c r="A58" s="265"/>
      <c r="B58" s="306"/>
      <c r="C58" s="243" t="s">
        <v>7</v>
      </c>
      <c r="D58" s="259"/>
      <c r="E58" s="259"/>
      <c r="F58" s="330">
        <v>78000</v>
      </c>
      <c r="G58" s="259"/>
      <c r="H58" s="259"/>
      <c r="I58" s="243" t="s">
        <v>1</v>
      </c>
      <c r="J58" s="259"/>
      <c r="K58" s="259"/>
      <c r="L58" s="331">
        <v>2000</v>
      </c>
      <c r="M58" s="307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</row>
    <row r="59" spans="1:24" s="198" customFormat="1">
      <c r="A59" s="265"/>
      <c r="B59" s="306"/>
      <c r="C59" s="243" t="s">
        <v>148</v>
      </c>
      <c r="D59" s="259"/>
      <c r="E59" s="259"/>
      <c r="F59" s="330">
        <v>0</v>
      </c>
      <c r="G59" s="259"/>
      <c r="H59" s="259"/>
      <c r="I59" s="243" t="s">
        <v>152</v>
      </c>
      <c r="J59" s="259"/>
      <c r="K59" s="259"/>
      <c r="L59" s="331">
        <v>450</v>
      </c>
      <c r="M59" s="307"/>
      <c r="N59" s="265"/>
      <c r="O59" s="265"/>
      <c r="P59" s="265"/>
      <c r="Q59" s="259"/>
      <c r="R59" s="265"/>
      <c r="S59" s="265"/>
      <c r="T59" s="265"/>
      <c r="U59" s="265"/>
      <c r="V59" s="265"/>
      <c r="W59" s="265"/>
      <c r="X59" s="265"/>
    </row>
    <row r="60" spans="1:24" s="198" customFormat="1">
      <c r="A60" s="265"/>
      <c r="B60" s="306"/>
      <c r="C60" s="243" t="s">
        <v>149</v>
      </c>
      <c r="D60" s="259"/>
      <c r="E60" s="259"/>
      <c r="F60" s="330">
        <v>0</v>
      </c>
      <c r="G60" s="259"/>
      <c r="H60" s="259"/>
      <c r="I60" s="243" t="s">
        <v>138</v>
      </c>
      <c r="J60" s="259"/>
      <c r="K60" s="259"/>
      <c r="L60" s="331">
        <v>200</v>
      </c>
      <c r="M60" s="307"/>
      <c r="N60" s="265"/>
      <c r="O60" s="265"/>
      <c r="P60" s="265"/>
      <c r="Q60" s="259"/>
      <c r="R60" s="265"/>
      <c r="S60" s="265"/>
      <c r="T60" s="265"/>
      <c r="U60" s="265"/>
      <c r="V60" s="265"/>
      <c r="W60" s="265"/>
      <c r="X60" s="265"/>
    </row>
    <row r="61" spans="1:24" s="198" customFormat="1">
      <c r="A61" s="265"/>
      <c r="B61" s="306"/>
      <c r="C61" s="259"/>
      <c r="D61" s="259"/>
      <c r="E61" s="259"/>
      <c r="F61" s="259"/>
      <c r="G61" s="259"/>
      <c r="H61" s="259"/>
      <c r="I61" s="243"/>
      <c r="J61" s="259"/>
      <c r="K61" s="259"/>
      <c r="L61" s="244"/>
      <c r="M61" s="307"/>
      <c r="N61" s="265"/>
      <c r="O61" s="265"/>
      <c r="P61" s="265"/>
      <c r="Q61" s="259"/>
      <c r="R61" s="265"/>
      <c r="S61" s="265"/>
      <c r="T61" s="265"/>
      <c r="U61" s="265"/>
      <c r="V61" s="265"/>
      <c r="W61" s="265"/>
      <c r="X61" s="265"/>
    </row>
    <row r="62" spans="1:24" s="198" customFormat="1">
      <c r="A62" s="265"/>
      <c r="B62" s="306"/>
      <c r="C62" s="243" t="s">
        <v>109</v>
      </c>
      <c r="D62" s="259"/>
      <c r="E62" s="259"/>
      <c r="F62" s="249">
        <v>3.7499999999999999E-2</v>
      </c>
      <c r="G62" s="259"/>
      <c r="H62" s="259"/>
      <c r="I62" s="243" t="s">
        <v>40</v>
      </c>
      <c r="J62" s="259"/>
      <c r="K62" s="259"/>
      <c r="L62" s="249">
        <v>0.03</v>
      </c>
      <c r="M62" s="307"/>
      <c r="N62" s="265"/>
      <c r="O62" s="265"/>
      <c r="P62" s="265"/>
      <c r="Q62" s="259"/>
      <c r="R62" s="265"/>
      <c r="S62" s="265"/>
      <c r="T62" s="265"/>
      <c r="U62" s="265"/>
      <c r="V62" s="265"/>
      <c r="W62" s="265"/>
      <c r="X62" s="265"/>
    </row>
    <row r="63" spans="1:24" s="198" customFormat="1">
      <c r="A63" s="265"/>
      <c r="B63" s="306"/>
      <c r="C63" s="243" t="s">
        <v>110</v>
      </c>
      <c r="D63" s="259"/>
      <c r="E63" s="259"/>
      <c r="F63" s="249">
        <v>2.5000000000000001E-2</v>
      </c>
      <c r="G63" s="259"/>
      <c r="H63" s="259"/>
      <c r="I63" s="243" t="s">
        <v>41</v>
      </c>
      <c r="J63" s="259"/>
      <c r="K63" s="259"/>
      <c r="L63" s="248">
        <v>0.95</v>
      </c>
      <c r="M63" s="307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</row>
    <row r="64" spans="1:24" s="198" customFormat="1">
      <c r="A64" s="265"/>
      <c r="B64" s="306"/>
      <c r="C64" s="243" t="s">
        <v>111</v>
      </c>
      <c r="D64" s="259"/>
      <c r="E64" s="259"/>
      <c r="F64" s="249">
        <v>2.5000000000000001E-2</v>
      </c>
      <c r="G64" s="259"/>
      <c r="H64" s="259"/>
      <c r="I64" s="259"/>
      <c r="J64" s="259"/>
      <c r="K64" s="259"/>
      <c r="L64" s="259"/>
      <c r="M64" s="307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</row>
    <row r="65" spans="1:24" s="198" customFormat="1">
      <c r="A65" s="265"/>
      <c r="B65" s="306"/>
      <c r="C65" s="259"/>
      <c r="D65" s="259"/>
      <c r="E65" s="259"/>
      <c r="F65" s="259"/>
      <c r="G65" s="259"/>
      <c r="H65" s="259"/>
      <c r="I65" s="243" t="s">
        <v>12</v>
      </c>
      <c r="J65" s="259"/>
      <c r="K65" s="259"/>
      <c r="L65" s="250">
        <v>0.3</v>
      </c>
      <c r="M65" s="307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</row>
    <row r="66" spans="1:24" s="198" customFormat="1" ht="17" thickBot="1">
      <c r="A66" s="265"/>
      <c r="B66" s="306"/>
      <c r="C66" s="309"/>
      <c r="D66" s="309"/>
      <c r="E66" s="309"/>
      <c r="F66" s="309"/>
      <c r="G66" s="259"/>
      <c r="H66" s="259"/>
      <c r="I66" s="243" t="s">
        <v>153</v>
      </c>
      <c r="J66" s="259"/>
      <c r="K66" s="259"/>
      <c r="L66" s="251">
        <v>30</v>
      </c>
      <c r="M66" s="307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</row>
    <row r="67" spans="1:24" s="198" customFormat="1">
      <c r="A67" s="265"/>
      <c r="B67" s="306"/>
      <c r="C67" s="327" t="s">
        <v>142</v>
      </c>
      <c r="D67" s="259"/>
      <c r="E67" s="259"/>
      <c r="F67" s="259"/>
      <c r="G67" s="259"/>
      <c r="H67" s="259"/>
      <c r="I67" s="243" t="s">
        <v>154</v>
      </c>
      <c r="J67" s="259"/>
      <c r="K67" s="259"/>
      <c r="L67" s="252">
        <v>2.2499999999999999E-2</v>
      </c>
      <c r="M67" s="307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</row>
    <row r="68" spans="1:24" s="198" customFormat="1" ht="10" customHeight="1" thickBot="1">
      <c r="A68" s="265"/>
      <c r="B68" s="310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2"/>
      <c r="N68" s="259"/>
      <c r="O68" s="265"/>
      <c r="P68" s="265"/>
      <c r="Q68" s="265"/>
      <c r="R68" s="265"/>
      <c r="S68" s="265"/>
      <c r="T68" s="265"/>
      <c r="U68" s="265"/>
      <c r="V68" s="265"/>
      <c r="W68" s="265"/>
      <c r="X68" s="265"/>
    </row>
    <row r="69" spans="1:24" s="184" customFormat="1"/>
    <row r="70" spans="1:24" s="184" customFormat="1">
      <c r="M70" s="202"/>
    </row>
    <row r="71" spans="1:24" s="184" customFormat="1">
      <c r="H71" s="202"/>
      <c r="I71" s="202"/>
      <c r="J71" s="202"/>
      <c r="K71" s="202"/>
      <c r="L71" s="202"/>
      <c r="M71" s="202"/>
    </row>
    <row r="72" spans="1:24" s="184" customFormat="1">
      <c r="B72" s="245"/>
      <c r="G72" s="245"/>
      <c r="H72" s="245"/>
      <c r="I72" s="245"/>
      <c r="J72" s="202"/>
      <c r="K72" s="202"/>
      <c r="L72" s="202"/>
      <c r="M72" s="202"/>
    </row>
    <row r="73" spans="1:24" s="184" customFormat="1">
      <c r="M73" s="202"/>
    </row>
    <row r="74" spans="1:24" s="184" customFormat="1">
      <c r="M74" s="202"/>
    </row>
    <row r="75" spans="1:24" s="184" customFormat="1">
      <c r="M75" s="202"/>
    </row>
    <row r="76" spans="1:24" s="184" customFormat="1">
      <c r="M76" s="202"/>
    </row>
    <row r="77" spans="1:24" s="184" customFormat="1">
      <c r="M77" s="202"/>
    </row>
    <row r="78" spans="1:24" s="184" customFormat="1">
      <c r="M78" s="202"/>
    </row>
    <row r="79" spans="1:24" s="184" customFormat="1">
      <c r="B79" s="246"/>
      <c r="C79" s="246"/>
      <c r="D79" s="246"/>
      <c r="E79" s="246"/>
      <c r="F79" s="246"/>
      <c r="G79" s="246"/>
      <c r="H79" s="246"/>
      <c r="I79" s="246"/>
      <c r="M79" s="202"/>
    </row>
    <row r="80" spans="1:24" s="184" customFormat="1">
      <c r="M80" s="202"/>
    </row>
    <row r="81" spans="13:13" s="184" customFormat="1">
      <c r="M81" s="202"/>
    </row>
    <row r="82" spans="13:13" s="184" customFormat="1">
      <c r="M82" s="202"/>
    </row>
    <row r="83" spans="13:13" s="184" customFormat="1">
      <c r="M83" s="202"/>
    </row>
    <row r="84" spans="13:13" s="184" customFormat="1">
      <c r="M84" s="202"/>
    </row>
    <row r="85" spans="13:13" s="184" customFormat="1">
      <c r="M85" s="202"/>
    </row>
    <row r="86" spans="13:13" s="184" customFormat="1">
      <c r="M86" s="202"/>
    </row>
    <row r="87" spans="13:13" s="184" customFormat="1">
      <c r="M87" s="202"/>
    </row>
    <row r="88" spans="13:13" s="184" customFormat="1">
      <c r="M88" s="202"/>
    </row>
    <row r="89" spans="13:13" s="184" customFormat="1">
      <c r="M89" s="202"/>
    </row>
    <row r="90" spans="13:13" s="184" customFormat="1">
      <c r="M90" s="202"/>
    </row>
    <row r="91" spans="13:13" s="184" customFormat="1">
      <c r="M91" s="202"/>
    </row>
    <row r="92" spans="13:13" s="184" customFormat="1">
      <c r="M92" s="202"/>
    </row>
    <row r="93" spans="13:13" s="184" customFormat="1">
      <c r="M93" s="202"/>
    </row>
    <row r="94" spans="13:13" s="184" customFormat="1">
      <c r="M94" s="202"/>
    </row>
    <row r="95" spans="13:13" s="184" customFormat="1">
      <c r="M95" s="202"/>
    </row>
    <row r="96" spans="13:13" s="184" customFormat="1">
      <c r="M96" s="202"/>
    </row>
    <row r="97" spans="13:13" s="184" customFormat="1">
      <c r="M97" s="202"/>
    </row>
    <row r="98" spans="13:13" s="184" customFormat="1">
      <c r="M98" s="202"/>
    </row>
    <row r="99" spans="13:13" s="184" customFormat="1">
      <c r="M99" s="202"/>
    </row>
    <row r="100" spans="13:13" s="184" customFormat="1">
      <c r="M100" s="202"/>
    </row>
    <row r="101" spans="13:13" s="184" customFormat="1">
      <c r="M101" s="202"/>
    </row>
    <row r="102" spans="13:13" s="184" customFormat="1">
      <c r="M102" s="202"/>
    </row>
    <row r="103" spans="13:13" s="184" customFormat="1">
      <c r="M103" s="202"/>
    </row>
    <row r="104" spans="13:13" s="184" customFormat="1">
      <c r="M104" s="202"/>
    </row>
    <row r="105" spans="13:13" s="184" customFormat="1">
      <c r="M105" s="202"/>
    </row>
    <row r="106" spans="13:13" s="184" customFormat="1">
      <c r="M106" s="202"/>
    </row>
    <row r="107" spans="13:13" s="184" customFormat="1">
      <c r="M107" s="202"/>
    </row>
    <row r="108" spans="13:13" s="184" customFormat="1">
      <c r="M108" s="202"/>
    </row>
    <row r="109" spans="13:13" s="184" customFormat="1">
      <c r="M109" s="202"/>
    </row>
    <row r="110" spans="13:13" s="184" customFormat="1">
      <c r="M110" s="202"/>
    </row>
    <row r="111" spans="13:13" s="184" customFormat="1">
      <c r="M111" s="202"/>
    </row>
    <row r="112" spans="13:13" s="184" customFormat="1">
      <c r="M112" s="202"/>
    </row>
    <row r="113" spans="13:13" s="184" customFormat="1">
      <c r="M113" s="202"/>
    </row>
    <row r="114" spans="13:13" s="184" customFormat="1">
      <c r="M114" s="202"/>
    </row>
    <row r="115" spans="13:13" s="184" customFormat="1">
      <c r="M115" s="202"/>
    </row>
    <row r="116" spans="13:13" s="184" customFormat="1">
      <c r="M116" s="202"/>
    </row>
    <row r="117" spans="13:13" s="184" customFormat="1">
      <c r="M117" s="202"/>
    </row>
    <row r="118" spans="13:13" s="184" customFormat="1">
      <c r="M118" s="202"/>
    </row>
    <row r="119" spans="13:13" s="184" customFormat="1">
      <c r="M119" s="202"/>
    </row>
    <row r="120" spans="13:13" s="184" customFormat="1">
      <c r="M120" s="202"/>
    </row>
    <row r="121" spans="13:13" s="184" customFormat="1">
      <c r="M121" s="202"/>
    </row>
    <row r="122" spans="13:13" s="184" customFormat="1">
      <c r="M122" s="202"/>
    </row>
    <row r="123" spans="13:13" s="184" customFormat="1">
      <c r="M123" s="202"/>
    </row>
    <row r="124" spans="13:13" s="184" customFormat="1">
      <c r="M124" s="202"/>
    </row>
    <row r="125" spans="13:13" s="184" customFormat="1">
      <c r="M125" s="202"/>
    </row>
    <row r="126" spans="13:13" s="184" customFormat="1">
      <c r="M126" s="202"/>
    </row>
    <row r="127" spans="13:13" s="184" customFormat="1">
      <c r="M127" s="202"/>
    </row>
    <row r="128" spans="13:13" s="184" customFormat="1">
      <c r="M128" s="202"/>
    </row>
    <row r="129" spans="13:13" s="184" customFormat="1">
      <c r="M129" s="202"/>
    </row>
    <row r="130" spans="13:13" s="184" customFormat="1">
      <c r="M130" s="202"/>
    </row>
    <row r="131" spans="13:13" s="184" customFormat="1">
      <c r="M131" s="202"/>
    </row>
    <row r="132" spans="13:13" s="184" customFormat="1">
      <c r="M132" s="202"/>
    </row>
    <row r="133" spans="13:13" s="184" customFormat="1">
      <c r="M133" s="202"/>
    </row>
    <row r="134" spans="13:13" s="184" customFormat="1">
      <c r="M134" s="202"/>
    </row>
    <row r="135" spans="13:13" s="184" customFormat="1">
      <c r="M135" s="202"/>
    </row>
    <row r="136" spans="13:13" s="184" customFormat="1">
      <c r="M136" s="202"/>
    </row>
    <row r="137" spans="13:13" s="184" customFormat="1">
      <c r="M137" s="202"/>
    </row>
    <row r="138" spans="13:13" s="184" customFormat="1">
      <c r="M138" s="202"/>
    </row>
    <row r="139" spans="13:13" s="184" customFormat="1">
      <c r="M139" s="202"/>
    </row>
    <row r="140" spans="13:13" s="184" customFormat="1">
      <c r="M140" s="202"/>
    </row>
    <row r="141" spans="13:13" s="184" customFormat="1">
      <c r="M141" s="202"/>
    </row>
    <row r="142" spans="13:13" s="184" customFormat="1">
      <c r="M142" s="202"/>
    </row>
    <row r="143" spans="13:13" s="184" customFormat="1">
      <c r="M143" s="202"/>
    </row>
    <row r="144" spans="13:13" s="184" customFormat="1">
      <c r="M144" s="202"/>
    </row>
    <row r="145" spans="13:13" s="184" customFormat="1">
      <c r="M145" s="202"/>
    </row>
    <row r="146" spans="13:13" s="184" customFormat="1">
      <c r="M146" s="202"/>
    </row>
    <row r="147" spans="13:13" s="184" customFormat="1">
      <c r="M147" s="202"/>
    </row>
    <row r="148" spans="13:13" s="184" customFormat="1">
      <c r="M148" s="202"/>
    </row>
    <row r="149" spans="13:13" s="184" customFormat="1">
      <c r="M149" s="202"/>
    </row>
    <row r="150" spans="13:13" s="184" customFormat="1">
      <c r="M150" s="202"/>
    </row>
    <row r="151" spans="13:13" s="184" customFormat="1">
      <c r="M151" s="202"/>
    </row>
    <row r="152" spans="13:13" s="184" customFormat="1">
      <c r="M152" s="202"/>
    </row>
    <row r="153" spans="13:13" s="184" customFormat="1">
      <c r="M153" s="202"/>
    </row>
    <row r="154" spans="13:13" s="184" customFormat="1">
      <c r="M154" s="202"/>
    </row>
    <row r="155" spans="13:13" s="184" customFormat="1">
      <c r="M155" s="202"/>
    </row>
    <row r="156" spans="13:13" s="184" customFormat="1">
      <c r="M156" s="202"/>
    </row>
    <row r="157" spans="13:13" s="184" customFormat="1">
      <c r="M157" s="202"/>
    </row>
    <row r="158" spans="13:13" s="184" customFormat="1">
      <c r="M158" s="202"/>
    </row>
    <row r="159" spans="13:13" s="184" customFormat="1">
      <c r="M159" s="202"/>
    </row>
    <row r="160" spans="13:13" s="184" customFormat="1">
      <c r="M160" s="202"/>
    </row>
    <row r="161" spans="13:13" s="184" customFormat="1">
      <c r="M161" s="202"/>
    </row>
    <row r="162" spans="13:13" s="184" customFormat="1">
      <c r="M162" s="202"/>
    </row>
    <row r="163" spans="13:13" s="184" customFormat="1">
      <c r="M163" s="202"/>
    </row>
    <row r="164" spans="13:13" s="184" customFormat="1">
      <c r="M164" s="202"/>
    </row>
    <row r="165" spans="13:13" s="184" customFormat="1">
      <c r="M165" s="202"/>
    </row>
    <row r="166" spans="13:13" s="184" customFormat="1">
      <c r="M166" s="202"/>
    </row>
    <row r="167" spans="13:13" s="184" customFormat="1">
      <c r="M167" s="202"/>
    </row>
    <row r="168" spans="13:13" s="184" customFormat="1">
      <c r="M168" s="202"/>
    </row>
    <row r="169" spans="13:13" s="184" customFormat="1">
      <c r="M169" s="202"/>
    </row>
    <row r="170" spans="13:13" s="184" customFormat="1">
      <c r="M170" s="202"/>
    </row>
    <row r="171" spans="13:13" s="184" customFormat="1">
      <c r="M171" s="202"/>
    </row>
    <row r="172" spans="13:13" s="184" customFormat="1">
      <c r="M172" s="202"/>
    </row>
    <row r="173" spans="13:13" s="184" customFormat="1">
      <c r="M173" s="202"/>
    </row>
    <row r="174" spans="13:13" s="184" customFormat="1">
      <c r="M174" s="202"/>
    </row>
    <row r="175" spans="13:13" s="184" customFormat="1">
      <c r="M175" s="202"/>
    </row>
    <row r="176" spans="13:13" s="184" customFormat="1">
      <c r="M176" s="202"/>
    </row>
    <row r="177" spans="13:13" s="184" customFormat="1">
      <c r="M177" s="202"/>
    </row>
    <row r="178" spans="13:13" s="184" customFormat="1">
      <c r="M178" s="202"/>
    </row>
    <row r="179" spans="13:13" s="184" customFormat="1">
      <c r="M179" s="202"/>
    </row>
    <row r="180" spans="13:13" s="184" customFormat="1">
      <c r="M180" s="202"/>
    </row>
    <row r="181" spans="13:13" s="184" customFormat="1">
      <c r="M181" s="202"/>
    </row>
    <row r="182" spans="13:13" s="184" customFormat="1">
      <c r="M182" s="202"/>
    </row>
    <row r="183" spans="13:13" s="184" customFormat="1">
      <c r="M183" s="202"/>
    </row>
    <row r="184" spans="13:13" s="184" customFormat="1">
      <c r="M184" s="202"/>
    </row>
    <row r="185" spans="13:13" s="184" customFormat="1">
      <c r="M185" s="202"/>
    </row>
    <row r="186" spans="13:13" s="184" customFormat="1">
      <c r="M186" s="202"/>
    </row>
    <row r="187" spans="13:13" s="184" customFormat="1">
      <c r="M187" s="202"/>
    </row>
    <row r="188" spans="13:13" s="184" customFormat="1">
      <c r="M188" s="202"/>
    </row>
    <row r="189" spans="13:13" s="184" customFormat="1">
      <c r="M189" s="202"/>
    </row>
    <row r="190" spans="13:13" s="184" customFormat="1">
      <c r="M190" s="202"/>
    </row>
    <row r="191" spans="13:13" s="184" customFormat="1">
      <c r="M191" s="202"/>
    </row>
    <row r="192" spans="13:13" s="184" customFormat="1">
      <c r="M192" s="202"/>
    </row>
    <row r="193" spans="13:13" s="184" customFormat="1">
      <c r="M193" s="202"/>
    </row>
    <row r="194" spans="13:13" s="184" customFormat="1">
      <c r="M194" s="202"/>
    </row>
    <row r="195" spans="13:13" s="184" customFormat="1">
      <c r="M195" s="202"/>
    </row>
    <row r="196" spans="13:13" s="184" customFormat="1">
      <c r="M196" s="202"/>
    </row>
    <row r="197" spans="13:13" s="184" customFormat="1">
      <c r="M197" s="202"/>
    </row>
    <row r="198" spans="13:13" s="184" customFormat="1">
      <c r="M198" s="202"/>
    </row>
    <row r="199" spans="13:13" s="184" customFormat="1">
      <c r="M199" s="202"/>
    </row>
    <row r="200" spans="13:13" s="184" customFormat="1">
      <c r="M200" s="202"/>
    </row>
    <row r="201" spans="13:13" s="184" customFormat="1">
      <c r="M201" s="202"/>
    </row>
    <row r="202" spans="13:13" s="184" customFormat="1">
      <c r="M202" s="202"/>
    </row>
    <row r="203" spans="13:13" s="184" customFormat="1">
      <c r="M203" s="202"/>
    </row>
    <row r="204" spans="13:13" s="184" customFormat="1">
      <c r="M204" s="202"/>
    </row>
    <row r="205" spans="13:13" s="184" customFormat="1">
      <c r="M205" s="202"/>
    </row>
    <row r="206" spans="13:13" s="184" customFormat="1">
      <c r="M206" s="202"/>
    </row>
    <row r="207" spans="13:13" s="184" customFormat="1">
      <c r="M207" s="202"/>
    </row>
    <row r="208" spans="13:13" s="184" customFormat="1">
      <c r="M208" s="202"/>
    </row>
    <row r="209" spans="13:13" s="184" customFormat="1">
      <c r="M209" s="202"/>
    </row>
    <row r="210" spans="13:13" s="184" customFormat="1">
      <c r="M210" s="202"/>
    </row>
    <row r="211" spans="13:13" s="184" customFormat="1">
      <c r="M211" s="202"/>
    </row>
    <row r="212" spans="13:13" s="184" customFormat="1">
      <c r="M212" s="202"/>
    </row>
    <row r="213" spans="13:13" s="184" customFormat="1">
      <c r="M213" s="202"/>
    </row>
    <row r="214" spans="13:13" s="184" customFormat="1">
      <c r="M214" s="202"/>
    </row>
    <row r="215" spans="13:13" s="184" customFormat="1">
      <c r="M215" s="202"/>
    </row>
    <row r="216" spans="13:13" s="184" customFormat="1">
      <c r="M216" s="202"/>
    </row>
    <row r="217" spans="13:13" s="184" customFormat="1">
      <c r="M217" s="202"/>
    </row>
    <row r="218" spans="13:13" s="184" customFormat="1">
      <c r="M218" s="202"/>
    </row>
    <row r="219" spans="13:13" s="184" customFormat="1">
      <c r="M219" s="202"/>
    </row>
    <row r="220" spans="13:13" s="184" customFormat="1">
      <c r="M220" s="202"/>
    </row>
    <row r="221" spans="13:13" s="184" customFormat="1">
      <c r="M221" s="202"/>
    </row>
    <row r="222" spans="13:13" s="184" customFormat="1">
      <c r="M222" s="202"/>
    </row>
    <row r="223" spans="13:13" s="184" customFormat="1">
      <c r="M223" s="202"/>
    </row>
    <row r="224" spans="13:13" s="184" customFormat="1">
      <c r="M224" s="202"/>
    </row>
    <row r="225" spans="13:13" s="184" customFormat="1">
      <c r="M225" s="202"/>
    </row>
    <row r="226" spans="13:13" s="184" customFormat="1">
      <c r="M226" s="202"/>
    </row>
    <row r="227" spans="13:13" s="184" customFormat="1">
      <c r="M227" s="202"/>
    </row>
    <row r="228" spans="13:13" s="184" customFormat="1">
      <c r="M228" s="202"/>
    </row>
    <row r="229" spans="13:13" s="184" customFormat="1">
      <c r="M229" s="202"/>
    </row>
    <row r="230" spans="13:13" s="184" customFormat="1">
      <c r="M230" s="202"/>
    </row>
    <row r="231" spans="13:13" s="184" customFormat="1">
      <c r="M231" s="202"/>
    </row>
    <row r="232" spans="13:13" s="184" customFormat="1">
      <c r="M232" s="202"/>
    </row>
    <row r="233" spans="13:13" s="184" customFormat="1">
      <c r="M233" s="202"/>
    </row>
    <row r="234" spans="13:13" s="184" customFormat="1">
      <c r="M234" s="202"/>
    </row>
    <row r="235" spans="13:13" s="184" customFormat="1">
      <c r="M235" s="202"/>
    </row>
    <row r="236" spans="13:13" s="184" customFormat="1">
      <c r="M236" s="202"/>
    </row>
    <row r="237" spans="13:13" s="184" customFormat="1">
      <c r="M237" s="202"/>
    </row>
    <row r="238" spans="13:13" s="184" customFormat="1">
      <c r="M238" s="202"/>
    </row>
    <row r="239" spans="13:13" s="184" customFormat="1">
      <c r="M239" s="202"/>
    </row>
    <row r="240" spans="13:13" s="184" customFormat="1">
      <c r="M240" s="202"/>
    </row>
    <row r="241" spans="13:13" s="184" customFormat="1">
      <c r="M241" s="202"/>
    </row>
    <row r="242" spans="13:13" s="184" customFormat="1">
      <c r="M242" s="202"/>
    </row>
    <row r="243" spans="13:13" s="184" customFormat="1">
      <c r="M243" s="202"/>
    </row>
    <row r="244" spans="13:13" s="184" customFormat="1">
      <c r="M244" s="202"/>
    </row>
    <row r="245" spans="13:13" s="184" customFormat="1">
      <c r="M245" s="202"/>
    </row>
    <row r="246" spans="13:13" s="184" customFormat="1">
      <c r="M246" s="202"/>
    </row>
    <row r="247" spans="13:13" s="184" customFormat="1">
      <c r="M247" s="202"/>
    </row>
    <row r="248" spans="13:13" s="184" customFormat="1">
      <c r="M248" s="202"/>
    </row>
    <row r="249" spans="13:13" s="184" customFormat="1">
      <c r="M249" s="202"/>
    </row>
    <row r="250" spans="13:13" s="184" customFormat="1">
      <c r="M250" s="202"/>
    </row>
    <row r="251" spans="13:13" s="184" customFormat="1">
      <c r="M251" s="202"/>
    </row>
    <row r="252" spans="13:13" s="184" customFormat="1">
      <c r="M252" s="202"/>
    </row>
    <row r="253" spans="13:13" s="184" customFormat="1">
      <c r="M253" s="202"/>
    </row>
    <row r="254" spans="13:13" s="184" customFormat="1">
      <c r="M254" s="202"/>
    </row>
    <row r="255" spans="13:13" s="184" customFormat="1">
      <c r="M255" s="202"/>
    </row>
    <row r="256" spans="13:13" s="184" customFormat="1">
      <c r="M256" s="202"/>
    </row>
    <row r="257" spans="13:13" s="184" customFormat="1">
      <c r="M257" s="202"/>
    </row>
    <row r="258" spans="13:13" s="184" customFormat="1">
      <c r="M258" s="202"/>
    </row>
    <row r="259" spans="13:13" s="184" customFormat="1">
      <c r="M259" s="202"/>
    </row>
    <row r="260" spans="13:13" s="184" customFormat="1">
      <c r="M260" s="202"/>
    </row>
    <row r="261" spans="13:13" s="184" customFormat="1">
      <c r="M261" s="202"/>
    </row>
    <row r="262" spans="13:13" s="184" customFormat="1">
      <c r="M262" s="202"/>
    </row>
    <row r="263" spans="13:13" s="184" customFormat="1">
      <c r="M263" s="202"/>
    </row>
    <row r="264" spans="13:13" s="184" customFormat="1">
      <c r="M264" s="202"/>
    </row>
    <row r="265" spans="13:13" s="184" customFormat="1">
      <c r="M265" s="202"/>
    </row>
    <row r="266" spans="13:13" s="184" customFormat="1">
      <c r="M266" s="202"/>
    </row>
    <row r="267" spans="13:13" s="184" customFormat="1">
      <c r="M267" s="202"/>
    </row>
    <row r="268" spans="13:13" s="184" customFormat="1">
      <c r="M268" s="202"/>
    </row>
    <row r="269" spans="13:13" s="184" customFormat="1">
      <c r="M269" s="202"/>
    </row>
    <row r="270" spans="13:13" s="184" customFormat="1">
      <c r="M270" s="202"/>
    </row>
    <row r="271" spans="13:13" s="184" customFormat="1">
      <c r="M271" s="202"/>
    </row>
    <row r="272" spans="13:13" s="184" customFormat="1">
      <c r="M272" s="202"/>
    </row>
    <row r="273" spans="13:13" s="184" customFormat="1">
      <c r="M273" s="202"/>
    </row>
    <row r="274" spans="13:13" s="184" customFormat="1">
      <c r="M274" s="202"/>
    </row>
    <row r="275" spans="13:13" s="184" customFormat="1">
      <c r="M275" s="202"/>
    </row>
    <row r="276" spans="13:13" s="184" customFormat="1">
      <c r="M276" s="202"/>
    </row>
    <row r="277" spans="13:13" s="184" customFormat="1">
      <c r="M277" s="202"/>
    </row>
    <row r="278" spans="13:13" s="184" customFormat="1">
      <c r="M278" s="202"/>
    </row>
    <row r="279" spans="13:13" s="184" customFormat="1">
      <c r="M279" s="202"/>
    </row>
    <row r="280" spans="13:13" s="184" customFormat="1">
      <c r="M280" s="202"/>
    </row>
    <row r="281" spans="13:13" s="184" customFormat="1">
      <c r="M281" s="202"/>
    </row>
    <row r="282" spans="13:13" s="184" customFormat="1">
      <c r="M282" s="202"/>
    </row>
    <row r="283" spans="13:13" s="184" customFormat="1">
      <c r="M283" s="202"/>
    </row>
    <row r="284" spans="13:13" s="184" customFormat="1">
      <c r="M284" s="202"/>
    </row>
    <row r="285" spans="13:13" s="184" customFormat="1">
      <c r="M285" s="202"/>
    </row>
    <row r="286" spans="13:13" s="184" customFormat="1">
      <c r="M286" s="202"/>
    </row>
    <row r="287" spans="13:13" s="184" customFormat="1">
      <c r="M287" s="202"/>
    </row>
    <row r="288" spans="13:13" s="184" customFormat="1">
      <c r="M288" s="202"/>
    </row>
    <row r="289" spans="13:13" s="184" customFormat="1">
      <c r="M289" s="202"/>
    </row>
    <row r="290" spans="13:13" s="184" customFormat="1">
      <c r="M290" s="202"/>
    </row>
    <row r="291" spans="13:13" s="184" customFormat="1">
      <c r="M291" s="202"/>
    </row>
    <row r="292" spans="13:13" s="184" customFormat="1">
      <c r="M292" s="202"/>
    </row>
    <row r="293" spans="13:13" s="184" customFormat="1">
      <c r="M293" s="202"/>
    </row>
    <row r="294" spans="13:13" s="184" customFormat="1">
      <c r="M294" s="202"/>
    </row>
    <row r="295" spans="13:13" s="184" customFormat="1">
      <c r="M295" s="202"/>
    </row>
    <row r="296" spans="13:13" s="184" customFormat="1">
      <c r="M296" s="202"/>
    </row>
    <row r="297" spans="13:13" s="184" customFormat="1">
      <c r="M297" s="202"/>
    </row>
    <row r="298" spans="13:13" s="184" customFormat="1">
      <c r="M298" s="202"/>
    </row>
    <row r="299" spans="13:13" s="184" customFormat="1">
      <c r="M299" s="202"/>
    </row>
    <row r="300" spans="13:13" s="184" customFormat="1">
      <c r="M300" s="202"/>
    </row>
    <row r="301" spans="13:13" s="184" customFormat="1">
      <c r="M301" s="202"/>
    </row>
    <row r="302" spans="13:13" s="184" customFormat="1">
      <c r="M302" s="202"/>
    </row>
    <row r="303" spans="13:13" s="184" customFormat="1">
      <c r="M303" s="202"/>
    </row>
    <row r="304" spans="13:13" s="184" customFormat="1">
      <c r="M304" s="202"/>
    </row>
    <row r="305" spans="13:13" s="184" customFormat="1">
      <c r="M305" s="202"/>
    </row>
    <row r="306" spans="13:13" s="184" customFormat="1">
      <c r="M306" s="202"/>
    </row>
    <row r="307" spans="13:13" s="184" customFormat="1">
      <c r="M307" s="202"/>
    </row>
    <row r="308" spans="13:13" s="184" customFormat="1">
      <c r="M308" s="202"/>
    </row>
    <row r="309" spans="13:13" s="184" customFormat="1">
      <c r="M309" s="202"/>
    </row>
    <row r="310" spans="13:13" s="184" customFormat="1">
      <c r="M310" s="202"/>
    </row>
    <row r="311" spans="13:13" s="184" customFormat="1">
      <c r="M311" s="202"/>
    </row>
    <row r="312" spans="13:13" s="184" customFormat="1">
      <c r="M312" s="202"/>
    </row>
    <row r="313" spans="13:13" s="184" customFormat="1">
      <c r="M313" s="202"/>
    </row>
    <row r="314" spans="13:13" s="184" customFormat="1">
      <c r="M314" s="202"/>
    </row>
    <row r="315" spans="13:13" s="184" customFormat="1">
      <c r="M315" s="202"/>
    </row>
    <row r="316" spans="13:13" s="184" customFormat="1">
      <c r="M316" s="202"/>
    </row>
    <row r="317" spans="13:13" s="184" customFormat="1">
      <c r="M317" s="202"/>
    </row>
    <row r="318" spans="13:13" s="184" customFormat="1">
      <c r="M318" s="202"/>
    </row>
    <row r="319" spans="13:13" s="184" customFormat="1">
      <c r="M319" s="202"/>
    </row>
    <row r="320" spans="13:13" s="184" customFormat="1">
      <c r="M320" s="202"/>
    </row>
    <row r="321" spans="13:13" s="184" customFormat="1">
      <c r="M321" s="202"/>
    </row>
    <row r="322" spans="13:13" s="184" customFormat="1">
      <c r="M322" s="202"/>
    </row>
    <row r="323" spans="13:13" s="184" customFormat="1">
      <c r="M323" s="202"/>
    </row>
    <row r="324" spans="13:13" s="184" customFormat="1">
      <c r="M324" s="202"/>
    </row>
    <row r="325" spans="13:13" s="184" customFormat="1">
      <c r="M325" s="202"/>
    </row>
    <row r="326" spans="13:13" s="184" customFormat="1">
      <c r="M326" s="202"/>
    </row>
    <row r="327" spans="13:13" s="184" customFormat="1">
      <c r="M327" s="202"/>
    </row>
    <row r="328" spans="13:13" s="184" customFormat="1">
      <c r="M328" s="202"/>
    </row>
    <row r="329" spans="13:13" s="184" customFormat="1">
      <c r="M329" s="202"/>
    </row>
    <row r="330" spans="13:13" s="184" customFormat="1">
      <c r="M330" s="202"/>
    </row>
    <row r="331" spans="13:13" s="184" customFormat="1">
      <c r="M331" s="202"/>
    </row>
    <row r="332" spans="13:13" s="184" customFormat="1">
      <c r="M332" s="202"/>
    </row>
    <row r="333" spans="13:13" s="184" customFormat="1">
      <c r="M333" s="202"/>
    </row>
    <row r="334" spans="13:13" s="184" customFormat="1">
      <c r="M334" s="202"/>
    </row>
    <row r="335" spans="13:13" s="184" customFormat="1">
      <c r="M335" s="202"/>
    </row>
    <row r="336" spans="13:13" s="184" customFormat="1">
      <c r="M336" s="202"/>
    </row>
    <row r="337" spans="13:13" s="184" customFormat="1">
      <c r="M337" s="202"/>
    </row>
    <row r="338" spans="13:13" s="184" customFormat="1">
      <c r="M338" s="202"/>
    </row>
    <row r="339" spans="13:13" s="184" customFormat="1">
      <c r="M339" s="202"/>
    </row>
    <row r="340" spans="13:13" s="184" customFormat="1">
      <c r="M340" s="202"/>
    </row>
    <row r="341" spans="13:13" s="184" customFormat="1">
      <c r="M341" s="202"/>
    </row>
    <row r="342" spans="13:13" s="184" customFormat="1">
      <c r="M342" s="202"/>
    </row>
    <row r="343" spans="13:13" s="184" customFormat="1">
      <c r="M343" s="202"/>
    </row>
    <row r="344" spans="13:13" s="184" customFormat="1">
      <c r="M344" s="202"/>
    </row>
    <row r="345" spans="13:13" s="184" customFormat="1">
      <c r="M345" s="202"/>
    </row>
    <row r="346" spans="13:13" s="184" customFormat="1">
      <c r="M346" s="202"/>
    </row>
    <row r="347" spans="13:13" s="184" customFormat="1">
      <c r="M347" s="202"/>
    </row>
    <row r="348" spans="13:13" s="184" customFormat="1">
      <c r="M348" s="202"/>
    </row>
    <row r="349" spans="13:13" s="184" customFormat="1">
      <c r="M349" s="202"/>
    </row>
    <row r="350" spans="13:13" s="184" customFormat="1">
      <c r="M350" s="202"/>
    </row>
    <row r="351" spans="13:13" s="184" customFormat="1">
      <c r="M351" s="202"/>
    </row>
    <row r="352" spans="13:13" s="184" customFormat="1">
      <c r="M352" s="202"/>
    </row>
    <row r="353" spans="13:13" s="184" customFormat="1">
      <c r="M353" s="202"/>
    </row>
    <row r="354" spans="13:13" s="184" customFormat="1">
      <c r="M354" s="202"/>
    </row>
    <row r="355" spans="13:13" s="184" customFormat="1">
      <c r="M355" s="202"/>
    </row>
    <row r="356" spans="13:13" s="184" customFormat="1">
      <c r="M356" s="202"/>
    </row>
    <row r="357" spans="13:13" s="184" customFormat="1">
      <c r="M357" s="202"/>
    </row>
    <row r="358" spans="13:13" s="184" customFormat="1">
      <c r="M358" s="202"/>
    </row>
    <row r="359" spans="13:13" s="184" customFormat="1">
      <c r="M359" s="202"/>
    </row>
    <row r="360" spans="13:13" s="184" customFormat="1">
      <c r="M360" s="202"/>
    </row>
    <row r="361" spans="13:13" s="184" customFormat="1">
      <c r="M361" s="202"/>
    </row>
    <row r="362" spans="13:13" s="184" customFormat="1">
      <c r="M362" s="202"/>
    </row>
  </sheetData>
  <sheetProtection algorithmName="SHA-512" hashValue="xDQpsXel31NQnecM6YeV9nlE1kwzmOCO/1BqWWtNpUWVHgFRwneLgJqQhmrtxGz1u8ZMlm78E2Ji5sIMI5Euvg==" saltValue="jvCSlJ1YRGMlpqnlp9bdQg==" spinCount="100000" sheet="1" scenarios="1" selectLockedCells="1"/>
  <mergeCells count="1">
    <mergeCell ref="C40:F40"/>
  </mergeCells>
  <phoneticPr fontId="17" type="noConversion"/>
  <hyperlinks>
    <hyperlink ref="C67" r:id="rId1" xr:uid="{FD45CC2B-6640-7B47-8B2B-A08CECC78B4E}"/>
    <hyperlink ref="J2" r:id="rId2" xr:uid="{BE71DBA9-2AF8-8D4F-AB15-FCD60E20EA40}"/>
  </hyperlinks>
  <pageMargins left="0.7" right="0.7" top="0.75" bottom="0.75" header="0.3" footer="0.3"/>
  <pageSetup orientation="portrait" horizontalDpi="0" verticalDpi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CBEC510-6976-E546-A7FF-C0093D117758}">
          <x14:formula1>
            <xm:f>Sheet1!$B$5:$B$8</xm:f>
          </x14:formula1>
          <xm:sqref>L65</xm:sqref>
        </x14:dataValidation>
        <x14:dataValidation type="list" allowBlank="1" showInputMessage="1" showErrorMessage="1" xr:uid="{2B18341F-E880-4844-A947-F2380F39F2D3}">
          <x14:formula1>
            <xm:f>Sheet1!$D$5:$D$6</xm:f>
          </x14:formula1>
          <xm:sqref>L66</xm:sqref>
        </x14:dataValidation>
        <x14:dataValidation type="list" allowBlank="1" showInputMessage="1" showErrorMessage="1" xr:uid="{6F7532B9-8B93-BE43-A0CE-39AA5E9CEFB9}">
          <x14:formula1>
            <xm:f>Sheet1!$F$4:$F$5</xm:f>
          </x14:formula1>
          <xm:sqref>J56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F0-2E68-914C-B386-D6F06AC9790A}">
  <dimension ref="A3:F8"/>
  <sheetViews>
    <sheetView rightToLeft="1" workbookViewId="0">
      <selection activeCell="F3" sqref="F3"/>
    </sheetView>
  </sheetViews>
  <sheetFormatPr baseColWidth="10" defaultRowHeight="16"/>
  <cols>
    <col min="1" max="3" width="10.83203125" style="166"/>
    <col min="4" max="4" width="12.6640625" style="166" bestFit="1" customWidth="1"/>
    <col min="5" max="16384" width="10.83203125" style="166"/>
  </cols>
  <sheetData>
    <row r="3" spans="1:6" ht="17" thickBot="1">
      <c r="F3" s="166" t="s">
        <v>41</v>
      </c>
    </row>
    <row r="4" spans="1:6">
      <c r="A4" s="171"/>
      <c r="B4" s="172" t="s">
        <v>12</v>
      </c>
      <c r="C4" s="171"/>
      <c r="D4" s="173" t="s">
        <v>113</v>
      </c>
      <c r="F4" s="166" t="s">
        <v>115</v>
      </c>
    </row>
    <row r="5" spans="1:6">
      <c r="B5" s="167">
        <v>1</v>
      </c>
      <c r="D5" s="169">
        <v>30</v>
      </c>
      <c r="F5" s="166" t="s">
        <v>116</v>
      </c>
    </row>
    <row r="6" spans="1:6" ht="17" thickBot="1">
      <c r="B6" s="167">
        <v>0.5</v>
      </c>
      <c r="D6" s="170">
        <v>15</v>
      </c>
    </row>
    <row r="7" spans="1:6">
      <c r="B7" s="167">
        <v>0.3</v>
      </c>
    </row>
    <row r="8" spans="1:6" ht="17" thickBot="1">
      <c r="B8" s="168">
        <v>0.2</v>
      </c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9C86-C226-0F49-8A86-8F0E1A9E6D30}">
  <dimension ref="A1:Q126"/>
  <sheetViews>
    <sheetView topLeftCell="A10" zoomScale="125" workbookViewId="0">
      <selection activeCell="C40" sqref="C40"/>
    </sheetView>
  </sheetViews>
  <sheetFormatPr baseColWidth="10" defaultColWidth="8.83203125" defaultRowHeight="13" outlineLevelRow="1"/>
  <cols>
    <col min="1" max="1" width="20.6640625" style="36" customWidth="1"/>
    <col min="2" max="2" width="14.33203125" style="36" customWidth="1"/>
    <col min="3" max="3" width="16.33203125" style="36" customWidth="1"/>
    <col min="4" max="4" width="17.83203125" style="36" customWidth="1"/>
    <col min="5" max="8" width="16.1640625" style="36" customWidth="1"/>
    <col min="9" max="9" width="25.83203125" style="51" customWidth="1"/>
    <col min="10" max="10" width="14" style="51" customWidth="1"/>
    <col min="11" max="11" width="13.5" style="51" customWidth="1"/>
    <col min="12" max="12" width="15.5" style="51" customWidth="1"/>
    <col min="13" max="13" width="15.6640625" style="51" customWidth="1"/>
    <col min="14" max="17" width="8.83203125" style="51"/>
    <col min="18" max="256" width="8.83203125" style="36"/>
    <col min="257" max="257" width="20.6640625" style="36" customWidth="1"/>
    <col min="258" max="258" width="14.33203125" style="36" customWidth="1"/>
    <col min="259" max="259" width="16.33203125" style="36" customWidth="1"/>
    <col min="260" max="260" width="17.83203125" style="36" customWidth="1"/>
    <col min="261" max="264" width="16.1640625" style="36" customWidth="1"/>
    <col min="265" max="265" width="25.83203125" style="36" customWidth="1"/>
    <col min="266" max="266" width="14" style="36" customWidth="1"/>
    <col min="267" max="267" width="13.5" style="36" customWidth="1"/>
    <col min="268" max="268" width="15.5" style="36" customWidth="1"/>
    <col min="269" max="269" width="15.6640625" style="36" customWidth="1"/>
    <col min="270" max="512" width="8.83203125" style="36"/>
    <col min="513" max="513" width="20.6640625" style="36" customWidth="1"/>
    <col min="514" max="514" width="14.33203125" style="36" customWidth="1"/>
    <col min="515" max="515" width="16.33203125" style="36" customWidth="1"/>
    <col min="516" max="516" width="17.83203125" style="36" customWidth="1"/>
    <col min="517" max="520" width="16.1640625" style="36" customWidth="1"/>
    <col min="521" max="521" width="25.83203125" style="36" customWidth="1"/>
    <col min="522" max="522" width="14" style="36" customWidth="1"/>
    <col min="523" max="523" width="13.5" style="36" customWidth="1"/>
    <col min="524" max="524" width="15.5" style="36" customWidth="1"/>
    <col min="525" max="525" width="15.6640625" style="36" customWidth="1"/>
    <col min="526" max="768" width="8.83203125" style="36"/>
    <col min="769" max="769" width="20.6640625" style="36" customWidth="1"/>
    <col min="770" max="770" width="14.33203125" style="36" customWidth="1"/>
    <col min="771" max="771" width="16.33203125" style="36" customWidth="1"/>
    <col min="772" max="772" width="17.83203125" style="36" customWidth="1"/>
    <col min="773" max="776" width="16.1640625" style="36" customWidth="1"/>
    <col min="777" max="777" width="25.83203125" style="36" customWidth="1"/>
    <col min="778" max="778" width="14" style="36" customWidth="1"/>
    <col min="779" max="779" width="13.5" style="36" customWidth="1"/>
    <col min="780" max="780" width="15.5" style="36" customWidth="1"/>
    <col min="781" max="781" width="15.6640625" style="36" customWidth="1"/>
    <col min="782" max="1024" width="8.83203125" style="36"/>
    <col min="1025" max="1025" width="20.6640625" style="36" customWidth="1"/>
    <col min="1026" max="1026" width="14.33203125" style="36" customWidth="1"/>
    <col min="1027" max="1027" width="16.33203125" style="36" customWidth="1"/>
    <col min="1028" max="1028" width="17.83203125" style="36" customWidth="1"/>
    <col min="1029" max="1032" width="16.1640625" style="36" customWidth="1"/>
    <col min="1033" max="1033" width="25.83203125" style="36" customWidth="1"/>
    <col min="1034" max="1034" width="14" style="36" customWidth="1"/>
    <col min="1035" max="1035" width="13.5" style="36" customWidth="1"/>
    <col min="1036" max="1036" width="15.5" style="36" customWidth="1"/>
    <col min="1037" max="1037" width="15.6640625" style="36" customWidth="1"/>
    <col min="1038" max="1280" width="8.83203125" style="36"/>
    <col min="1281" max="1281" width="20.6640625" style="36" customWidth="1"/>
    <col min="1282" max="1282" width="14.33203125" style="36" customWidth="1"/>
    <col min="1283" max="1283" width="16.33203125" style="36" customWidth="1"/>
    <col min="1284" max="1284" width="17.83203125" style="36" customWidth="1"/>
    <col min="1285" max="1288" width="16.1640625" style="36" customWidth="1"/>
    <col min="1289" max="1289" width="25.83203125" style="36" customWidth="1"/>
    <col min="1290" max="1290" width="14" style="36" customWidth="1"/>
    <col min="1291" max="1291" width="13.5" style="36" customWidth="1"/>
    <col min="1292" max="1292" width="15.5" style="36" customWidth="1"/>
    <col min="1293" max="1293" width="15.6640625" style="36" customWidth="1"/>
    <col min="1294" max="1536" width="8.83203125" style="36"/>
    <col min="1537" max="1537" width="20.6640625" style="36" customWidth="1"/>
    <col min="1538" max="1538" width="14.33203125" style="36" customWidth="1"/>
    <col min="1539" max="1539" width="16.33203125" style="36" customWidth="1"/>
    <col min="1540" max="1540" width="17.83203125" style="36" customWidth="1"/>
    <col min="1541" max="1544" width="16.1640625" style="36" customWidth="1"/>
    <col min="1545" max="1545" width="25.83203125" style="36" customWidth="1"/>
    <col min="1546" max="1546" width="14" style="36" customWidth="1"/>
    <col min="1547" max="1547" width="13.5" style="36" customWidth="1"/>
    <col min="1548" max="1548" width="15.5" style="36" customWidth="1"/>
    <col min="1549" max="1549" width="15.6640625" style="36" customWidth="1"/>
    <col min="1550" max="1792" width="8.83203125" style="36"/>
    <col min="1793" max="1793" width="20.6640625" style="36" customWidth="1"/>
    <col min="1794" max="1794" width="14.33203125" style="36" customWidth="1"/>
    <col min="1795" max="1795" width="16.33203125" style="36" customWidth="1"/>
    <col min="1796" max="1796" width="17.83203125" style="36" customWidth="1"/>
    <col min="1797" max="1800" width="16.1640625" style="36" customWidth="1"/>
    <col min="1801" max="1801" width="25.83203125" style="36" customWidth="1"/>
    <col min="1802" max="1802" width="14" style="36" customWidth="1"/>
    <col min="1803" max="1803" width="13.5" style="36" customWidth="1"/>
    <col min="1804" max="1804" width="15.5" style="36" customWidth="1"/>
    <col min="1805" max="1805" width="15.6640625" style="36" customWidth="1"/>
    <col min="1806" max="2048" width="8.83203125" style="36"/>
    <col min="2049" max="2049" width="20.6640625" style="36" customWidth="1"/>
    <col min="2050" max="2050" width="14.33203125" style="36" customWidth="1"/>
    <col min="2051" max="2051" width="16.33203125" style="36" customWidth="1"/>
    <col min="2052" max="2052" width="17.83203125" style="36" customWidth="1"/>
    <col min="2053" max="2056" width="16.1640625" style="36" customWidth="1"/>
    <col min="2057" max="2057" width="25.83203125" style="36" customWidth="1"/>
    <col min="2058" max="2058" width="14" style="36" customWidth="1"/>
    <col min="2059" max="2059" width="13.5" style="36" customWidth="1"/>
    <col min="2060" max="2060" width="15.5" style="36" customWidth="1"/>
    <col min="2061" max="2061" width="15.6640625" style="36" customWidth="1"/>
    <col min="2062" max="2304" width="8.83203125" style="36"/>
    <col min="2305" max="2305" width="20.6640625" style="36" customWidth="1"/>
    <col min="2306" max="2306" width="14.33203125" style="36" customWidth="1"/>
    <col min="2307" max="2307" width="16.33203125" style="36" customWidth="1"/>
    <col min="2308" max="2308" width="17.83203125" style="36" customWidth="1"/>
    <col min="2309" max="2312" width="16.1640625" style="36" customWidth="1"/>
    <col min="2313" max="2313" width="25.83203125" style="36" customWidth="1"/>
    <col min="2314" max="2314" width="14" style="36" customWidth="1"/>
    <col min="2315" max="2315" width="13.5" style="36" customWidth="1"/>
    <col min="2316" max="2316" width="15.5" style="36" customWidth="1"/>
    <col min="2317" max="2317" width="15.6640625" style="36" customWidth="1"/>
    <col min="2318" max="2560" width="8.83203125" style="36"/>
    <col min="2561" max="2561" width="20.6640625" style="36" customWidth="1"/>
    <col min="2562" max="2562" width="14.33203125" style="36" customWidth="1"/>
    <col min="2563" max="2563" width="16.33203125" style="36" customWidth="1"/>
    <col min="2564" max="2564" width="17.83203125" style="36" customWidth="1"/>
    <col min="2565" max="2568" width="16.1640625" style="36" customWidth="1"/>
    <col min="2569" max="2569" width="25.83203125" style="36" customWidth="1"/>
    <col min="2570" max="2570" width="14" style="36" customWidth="1"/>
    <col min="2571" max="2571" width="13.5" style="36" customWidth="1"/>
    <col min="2572" max="2572" width="15.5" style="36" customWidth="1"/>
    <col min="2573" max="2573" width="15.6640625" style="36" customWidth="1"/>
    <col min="2574" max="2816" width="8.83203125" style="36"/>
    <col min="2817" max="2817" width="20.6640625" style="36" customWidth="1"/>
    <col min="2818" max="2818" width="14.33203125" style="36" customWidth="1"/>
    <col min="2819" max="2819" width="16.33203125" style="36" customWidth="1"/>
    <col min="2820" max="2820" width="17.83203125" style="36" customWidth="1"/>
    <col min="2821" max="2824" width="16.1640625" style="36" customWidth="1"/>
    <col min="2825" max="2825" width="25.83203125" style="36" customWidth="1"/>
    <col min="2826" max="2826" width="14" style="36" customWidth="1"/>
    <col min="2827" max="2827" width="13.5" style="36" customWidth="1"/>
    <col min="2828" max="2828" width="15.5" style="36" customWidth="1"/>
    <col min="2829" max="2829" width="15.6640625" style="36" customWidth="1"/>
    <col min="2830" max="3072" width="8.83203125" style="36"/>
    <col min="3073" max="3073" width="20.6640625" style="36" customWidth="1"/>
    <col min="3074" max="3074" width="14.33203125" style="36" customWidth="1"/>
    <col min="3075" max="3075" width="16.33203125" style="36" customWidth="1"/>
    <col min="3076" max="3076" width="17.83203125" style="36" customWidth="1"/>
    <col min="3077" max="3080" width="16.1640625" style="36" customWidth="1"/>
    <col min="3081" max="3081" width="25.83203125" style="36" customWidth="1"/>
    <col min="3082" max="3082" width="14" style="36" customWidth="1"/>
    <col min="3083" max="3083" width="13.5" style="36" customWidth="1"/>
    <col min="3084" max="3084" width="15.5" style="36" customWidth="1"/>
    <col min="3085" max="3085" width="15.6640625" style="36" customWidth="1"/>
    <col min="3086" max="3328" width="8.83203125" style="36"/>
    <col min="3329" max="3329" width="20.6640625" style="36" customWidth="1"/>
    <col min="3330" max="3330" width="14.33203125" style="36" customWidth="1"/>
    <col min="3331" max="3331" width="16.33203125" style="36" customWidth="1"/>
    <col min="3332" max="3332" width="17.83203125" style="36" customWidth="1"/>
    <col min="3333" max="3336" width="16.1640625" style="36" customWidth="1"/>
    <col min="3337" max="3337" width="25.83203125" style="36" customWidth="1"/>
    <col min="3338" max="3338" width="14" style="36" customWidth="1"/>
    <col min="3339" max="3339" width="13.5" style="36" customWidth="1"/>
    <col min="3340" max="3340" width="15.5" style="36" customWidth="1"/>
    <col min="3341" max="3341" width="15.6640625" style="36" customWidth="1"/>
    <col min="3342" max="3584" width="8.83203125" style="36"/>
    <col min="3585" max="3585" width="20.6640625" style="36" customWidth="1"/>
    <col min="3586" max="3586" width="14.33203125" style="36" customWidth="1"/>
    <col min="3587" max="3587" width="16.33203125" style="36" customWidth="1"/>
    <col min="3588" max="3588" width="17.83203125" style="36" customWidth="1"/>
    <col min="3589" max="3592" width="16.1640625" style="36" customWidth="1"/>
    <col min="3593" max="3593" width="25.83203125" style="36" customWidth="1"/>
    <col min="3594" max="3594" width="14" style="36" customWidth="1"/>
    <col min="3595" max="3595" width="13.5" style="36" customWidth="1"/>
    <col min="3596" max="3596" width="15.5" style="36" customWidth="1"/>
    <col min="3597" max="3597" width="15.6640625" style="36" customWidth="1"/>
    <col min="3598" max="3840" width="8.83203125" style="36"/>
    <col min="3841" max="3841" width="20.6640625" style="36" customWidth="1"/>
    <col min="3842" max="3842" width="14.33203125" style="36" customWidth="1"/>
    <col min="3843" max="3843" width="16.33203125" style="36" customWidth="1"/>
    <col min="3844" max="3844" width="17.83203125" style="36" customWidth="1"/>
    <col min="3845" max="3848" width="16.1640625" style="36" customWidth="1"/>
    <col min="3849" max="3849" width="25.83203125" style="36" customWidth="1"/>
    <col min="3850" max="3850" width="14" style="36" customWidth="1"/>
    <col min="3851" max="3851" width="13.5" style="36" customWidth="1"/>
    <col min="3852" max="3852" width="15.5" style="36" customWidth="1"/>
    <col min="3853" max="3853" width="15.6640625" style="36" customWidth="1"/>
    <col min="3854" max="4096" width="8.83203125" style="36"/>
    <col min="4097" max="4097" width="20.6640625" style="36" customWidth="1"/>
    <col min="4098" max="4098" width="14.33203125" style="36" customWidth="1"/>
    <col min="4099" max="4099" width="16.33203125" style="36" customWidth="1"/>
    <col min="4100" max="4100" width="17.83203125" style="36" customWidth="1"/>
    <col min="4101" max="4104" width="16.1640625" style="36" customWidth="1"/>
    <col min="4105" max="4105" width="25.83203125" style="36" customWidth="1"/>
    <col min="4106" max="4106" width="14" style="36" customWidth="1"/>
    <col min="4107" max="4107" width="13.5" style="36" customWidth="1"/>
    <col min="4108" max="4108" width="15.5" style="36" customWidth="1"/>
    <col min="4109" max="4109" width="15.6640625" style="36" customWidth="1"/>
    <col min="4110" max="4352" width="8.83203125" style="36"/>
    <col min="4353" max="4353" width="20.6640625" style="36" customWidth="1"/>
    <col min="4354" max="4354" width="14.33203125" style="36" customWidth="1"/>
    <col min="4355" max="4355" width="16.33203125" style="36" customWidth="1"/>
    <col min="4356" max="4356" width="17.83203125" style="36" customWidth="1"/>
    <col min="4357" max="4360" width="16.1640625" style="36" customWidth="1"/>
    <col min="4361" max="4361" width="25.83203125" style="36" customWidth="1"/>
    <col min="4362" max="4362" width="14" style="36" customWidth="1"/>
    <col min="4363" max="4363" width="13.5" style="36" customWidth="1"/>
    <col min="4364" max="4364" width="15.5" style="36" customWidth="1"/>
    <col min="4365" max="4365" width="15.6640625" style="36" customWidth="1"/>
    <col min="4366" max="4608" width="8.83203125" style="36"/>
    <col min="4609" max="4609" width="20.6640625" style="36" customWidth="1"/>
    <col min="4610" max="4610" width="14.33203125" style="36" customWidth="1"/>
    <col min="4611" max="4611" width="16.33203125" style="36" customWidth="1"/>
    <col min="4612" max="4612" width="17.83203125" style="36" customWidth="1"/>
    <col min="4613" max="4616" width="16.1640625" style="36" customWidth="1"/>
    <col min="4617" max="4617" width="25.83203125" style="36" customWidth="1"/>
    <col min="4618" max="4618" width="14" style="36" customWidth="1"/>
    <col min="4619" max="4619" width="13.5" style="36" customWidth="1"/>
    <col min="4620" max="4620" width="15.5" style="36" customWidth="1"/>
    <col min="4621" max="4621" width="15.6640625" style="36" customWidth="1"/>
    <col min="4622" max="4864" width="8.83203125" style="36"/>
    <col min="4865" max="4865" width="20.6640625" style="36" customWidth="1"/>
    <col min="4866" max="4866" width="14.33203125" style="36" customWidth="1"/>
    <col min="4867" max="4867" width="16.33203125" style="36" customWidth="1"/>
    <col min="4868" max="4868" width="17.83203125" style="36" customWidth="1"/>
    <col min="4869" max="4872" width="16.1640625" style="36" customWidth="1"/>
    <col min="4873" max="4873" width="25.83203125" style="36" customWidth="1"/>
    <col min="4874" max="4874" width="14" style="36" customWidth="1"/>
    <col min="4875" max="4875" width="13.5" style="36" customWidth="1"/>
    <col min="4876" max="4876" width="15.5" style="36" customWidth="1"/>
    <col min="4877" max="4877" width="15.6640625" style="36" customWidth="1"/>
    <col min="4878" max="5120" width="8.83203125" style="36"/>
    <col min="5121" max="5121" width="20.6640625" style="36" customWidth="1"/>
    <col min="5122" max="5122" width="14.33203125" style="36" customWidth="1"/>
    <col min="5123" max="5123" width="16.33203125" style="36" customWidth="1"/>
    <col min="5124" max="5124" width="17.83203125" style="36" customWidth="1"/>
    <col min="5125" max="5128" width="16.1640625" style="36" customWidth="1"/>
    <col min="5129" max="5129" width="25.83203125" style="36" customWidth="1"/>
    <col min="5130" max="5130" width="14" style="36" customWidth="1"/>
    <col min="5131" max="5131" width="13.5" style="36" customWidth="1"/>
    <col min="5132" max="5132" width="15.5" style="36" customWidth="1"/>
    <col min="5133" max="5133" width="15.6640625" style="36" customWidth="1"/>
    <col min="5134" max="5376" width="8.83203125" style="36"/>
    <col min="5377" max="5377" width="20.6640625" style="36" customWidth="1"/>
    <col min="5378" max="5378" width="14.33203125" style="36" customWidth="1"/>
    <col min="5379" max="5379" width="16.33203125" style="36" customWidth="1"/>
    <col min="5380" max="5380" width="17.83203125" style="36" customWidth="1"/>
    <col min="5381" max="5384" width="16.1640625" style="36" customWidth="1"/>
    <col min="5385" max="5385" width="25.83203125" style="36" customWidth="1"/>
    <col min="5386" max="5386" width="14" style="36" customWidth="1"/>
    <col min="5387" max="5387" width="13.5" style="36" customWidth="1"/>
    <col min="5388" max="5388" width="15.5" style="36" customWidth="1"/>
    <col min="5389" max="5389" width="15.6640625" style="36" customWidth="1"/>
    <col min="5390" max="5632" width="8.83203125" style="36"/>
    <col min="5633" max="5633" width="20.6640625" style="36" customWidth="1"/>
    <col min="5634" max="5634" width="14.33203125" style="36" customWidth="1"/>
    <col min="5635" max="5635" width="16.33203125" style="36" customWidth="1"/>
    <col min="5636" max="5636" width="17.83203125" style="36" customWidth="1"/>
    <col min="5637" max="5640" width="16.1640625" style="36" customWidth="1"/>
    <col min="5641" max="5641" width="25.83203125" style="36" customWidth="1"/>
    <col min="5642" max="5642" width="14" style="36" customWidth="1"/>
    <col min="5643" max="5643" width="13.5" style="36" customWidth="1"/>
    <col min="5644" max="5644" width="15.5" style="36" customWidth="1"/>
    <col min="5645" max="5645" width="15.6640625" style="36" customWidth="1"/>
    <col min="5646" max="5888" width="8.83203125" style="36"/>
    <col min="5889" max="5889" width="20.6640625" style="36" customWidth="1"/>
    <col min="5890" max="5890" width="14.33203125" style="36" customWidth="1"/>
    <col min="5891" max="5891" width="16.33203125" style="36" customWidth="1"/>
    <col min="5892" max="5892" width="17.83203125" style="36" customWidth="1"/>
    <col min="5893" max="5896" width="16.1640625" style="36" customWidth="1"/>
    <col min="5897" max="5897" width="25.83203125" style="36" customWidth="1"/>
    <col min="5898" max="5898" width="14" style="36" customWidth="1"/>
    <col min="5899" max="5899" width="13.5" style="36" customWidth="1"/>
    <col min="5900" max="5900" width="15.5" style="36" customWidth="1"/>
    <col min="5901" max="5901" width="15.6640625" style="36" customWidth="1"/>
    <col min="5902" max="6144" width="8.83203125" style="36"/>
    <col min="6145" max="6145" width="20.6640625" style="36" customWidth="1"/>
    <col min="6146" max="6146" width="14.33203125" style="36" customWidth="1"/>
    <col min="6147" max="6147" width="16.33203125" style="36" customWidth="1"/>
    <col min="6148" max="6148" width="17.83203125" style="36" customWidth="1"/>
    <col min="6149" max="6152" width="16.1640625" style="36" customWidth="1"/>
    <col min="6153" max="6153" width="25.83203125" style="36" customWidth="1"/>
    <col min="6154" max="6154" width="14" style="36" customWidth="1"/>
    <col min="6155" max="6155" width="13.5" style="36" customWidth="1"/>
    <col min="6156" max="6156" width="15.5" style="36" customWidth="1"/>
    <col min="6157" max="6157" width="15.6640625" style="36" customWidth="1"/>
    <col min="6158" max="6400" width="8.83203125" style="36"/>
    <col min="6401" max="6401" width="20.6640625" style="36" customWidth="1"/>
    <col min="6402" max="6402" width="14.33203125" style="36" customWidth="1"/>
    <col min="6403" max="6403" width="16.33203125" style="36" customWidth="1"/>
    <col min="6404" max="6404" width="17.83203125" style="36" customWidth="1"/>
    <col min="6405" max="6408" width="16.1640625" style="36" customWidth="1"/>
    <col min="6409" max="6409" width="25.83203125" style="36" customWidth="1"/>
    <col min="6410" max="6410" width="14" style="36" customWidth="1"/>
    <col min="6411" max="6411" width="13.5" style="36" customWidth="1"/>
    <col min="6412" max="6412" width="15.5" style="36" customWidth="1"/>
    <col min="6413" max="6413" width="15.6640625" style="36" customWidth="1"/>
    <col min="6414" max="6656" width="8.83203125" style="36"/>
    <col min="6657" max="6657" width="20.6640625" style="36" customWidth="1"/>
    <col min="6658" max="6658" width="14.33203125" style="36" customWidth="1"/>
    <col min="6659" max="6659" width="16.33203125" style="36" customWidth="1"/>
    <col min="6660" max="6660" width="17.83203125" style="36" customWidth="1"/>
    <col min="6661" max="6664" width="16.1640625" style="36" customWidth="1"/>
    <col min="6665" max="6665" width="25.83203125" style="36" customWidth="1"/>
    <col min="6666" max="6666" width="14" style="36" customWidth="1"/>
    <col min="6667" max="6667" width="13.5" style="36" customWidth="1"/>
    <col min="6668" max="6668" width="15.5" style="36" customWidth="1"/>
    <col min="6669" max="6669" width="15.6640625" style="36" customWidth="1"/>
    <col min="6670" max="6912" width="8.83203125" style="36"/>
    <col min="6913" max="6913" width="20.6640625" style="36" customWidth="1"/>
    <col min="6914" max="6914" width="14.33203125" style="36" customWidth="1"/>
    <col min="6915" max="6915" width="16.33203125" style="36" customWidth="1"/>
    <col min="6916" max="6916" width="17.83203125" style="36" customWidth="1"/>
    <col min="6917" max="6920" width="16.1640625" style="36" customWidth="1"/>
    <col min="6921" max="6921" width="25.83203125" style="36" customWidth="1"/>
    <col min="6922" max="6922" width="14" style="36" customWidth="1"/>
    <col min="6923" max="6923" width="13.5" style="36" customWidth="1"/>
    <col min="6924" max="6924" width="15.5" style="36" customWidth="1"/>
    <col min="6925" max="6925" width="15.6640625" style="36" customWidth="1"/>
    <col min="6926" max="7168" width="8.83203125" style="36"/>
    <col min="7169" max="7169" width="20.6640625" style="36" customWidth="1"/>
    <col min="7170" max="7170" width="14.33203125" style="36" customWidth="1"/>
    <col min="7171" max="7171" width="16.33203125" style="36" customWidth="1"/>
    <col min="7172" max="7172" width="17.83203125" style="36" customWidth="1"/>
    <col min="7173" max="7176" width="16.1640625" style="36" customWidth="1"/>
    <col min="7177" max="7177" width="25.83203125" style="36" customWidth="1"/>
    <col min="7178" max="7178" width="14" style="36" customWidth="1"/>
    <col min="7179" max="7179" width="13.5" style="36" customWidth="1"/>
    <col min="7180" max="7180" width="15.5" style="36" customWidth="1"/>
    <col min="7181" max="7181" width="15.6640625" style="36" customWidth="1"/>
    <col min="7182" max="7424" width="8.83203125" style="36"/>
    <col min="7425" max="7425" width="20.6640625" style="36" customWidth="1"/>
    <col min="7426" max="7426" width="14.33203125" style="36" customWidth="1"/>
    <col min="7427" max="7427" width="16.33203125" style="36" customWidth="1"/>
    <col min="7428" max="7428" width="17.83203125" style="36" customWidth="1"/>
    <col min="7429" max="7432" width="16.1640625" style="36" customWidth="1"/>
    <col min="7433" max="7433" width="25.83203125" style="36" customWidth="1"/>
    <col min="7434" max="7434" width="14" style="36" customWidth="1"/>
    <col min="7435" max="7435" width="13.5" style="36" customWidth="1"/>
    <col min="7436" max="7436" width="15.5" style="36" customWidth="1"/>
    <col min="7437" max="7437" width="15.6640625" style="36" customWidth="1"/>
    <col min="7438" max="7680" width="8.83203125" style="36"/>
    <col min="7681" max="7681" width="20.6640625" style="36" customWidth="1"/>
    <col min="7682" max="7682" width="14.33203125" style="36" customWidth="1"/>
    <col min="7683" max="7683" width="16.33203125" style="36" customWidth="1"/>
    <col min="7684" max="7684" width="17.83203125" style="36" customWidth="1"/>
    <col min="7685" max="7688" width="16.1640625" style="36" customWidth="1"/>
    <col min="7689" max="7689" width="25.83203125" style="36" customWidth="1"/>
    <col min="7690" max="7690" width="14" style="36" customWidth="1"/>
    <col min="7691" max="7691" width="13.5" style="36" customWidth="1"/>
    <col min="7692" max="7692" width="15.5" style="36" customWidth="1"/>
    <col min="7693" max="7693" width="15.6640625" style="36" customWidth="1"/>
    <col min="7694" max="7936" width="8.83203125" style="36"/>
    <col min="7937" max="7937" width="20.6640625" style="36" customWidth="1"/>
    <col min="7938" max="7938" width="14.33203125" style="36" customWidth="1"/>
    <col min="7939" max="7939" width="16.33203125" style="36" customWidth="1"/>
    <col min="7940" max="7940" width="17.83203125" style="36" customWidth="1"/>
    <col min="7941" max="7944" width="16.1640625" style="36" customWidth="1"/>
    <col min="7945" max="7945" width="25.83203125" style="36" customWidth="1"/>
    <col min="7946" max="7946" width="14" style="36" customWidth="1"/>
    <col min="7947" max="7947" width="13.5" style="36" customWidth="1"/>
    <col min="7948" max="7948" width="15.5" style="36" customWidth="1"/>
    <col min="7949" max="7949" width="15.6640625" style="36" customWidth="1"/>
    <col min="7950" max="8192" width="8.83203125" style="36"/>
    <col min="8193" max="8193" width="20.6640625" style="36" customWidth="1"/>
    <col min="8194" max="8194" width="14.33203125" style="36" customWidth="1"/>
    <col min="8195" max="8195" width="16.33203125" style="36" customWidth="1"/>
    <col min="8196" max="8196" width="17.83203125" style="36" customWidth="1"/>
    <col min="8197" max="8200" width="16.1640625" style="36" customWidth="1"/>
    <col min="8201" max="8201" width="25.83203125" style="36" customWidth="1"/>
    <col min="8202" max="8202" width="14" style="36" customWidth="1"/>
    <col min="8203" max="8203" width="13.5" style="36" customWidth="1"/>
    <col min="8204" max="8204" width="15.5" style="36" customWidth="1"/>
    <col min="8205" max="8205" width="15.6640625" style="36" customWidth="1"/>
    <col min="8206" max="8448" width="8.83203125" style="36"/>
    <col min="8449" max="8449" width="20.6640625" style="36" customWidth="1"/>
    <col min="8450" max="8450" width="14.33203125" style="36" customWidth="1"/>
    <col min="8451" max="8451" width="16.33203125" style="36" customWidth="1"/>
    <col min="8452" max="8452" width="17.83203125" style="36" customWidth="1"/>
    <col min="8453" max="8456" width="16.1640625" style="36" customWidth="1"/>
    <col min="8457" max="8457" width="25.83203125" style="36" customWidth="1"/>
    <col min="8458" max="8458" width="14" style="36" customWidth="1"/>
    <col min="8459" max="8459" width="13.5" style="36" customWidth="1"/>
    <col min="8460" max="8460" width="15.5" style="36" customWidth="1"/>
    <col min="8461" max="8461" width="15.6640625" style="36" customWidth="1"/>
    <col min="8462" max="8704" width="8.83203125" style="36"/>
    <col min="8705" max="8705" width="20.6640625" style="36" customWidth="1"/>
    <col min="8706" max="8706" width="14.33203125" style="36" customWidth="1"/>
    <col min="8707" max="8707" width="16.33203125" style="36" customWidth="1"/>
    <col min="8708" max="8708" width="17.83203125" style="36" customWidth="1"/>
    <col min="8709" max="8712" width="16.1640625" style="36" customWidth="1"/>
    <col min="8713" max="8713" width="25.83203125" style="36" customWidth="1"/>
    <col min="8714" max="8714" width="14" style="36" customWidth="1"/>
    <col min="8715" max="8715" width="13.5" style="36" customWidth="1"/>
    <col min="8716" max="8716" width="15.5" style="36" customWidth="1"/>
    <col min="8717" max="8717" width="15.6640625" style="36" customWidth="1"/>
    <col min="8718" max="8960" width="8.83203125" style="36"/>
    <col min="8961" max="8961" width="20.6640625" style="36" customWidth="1"/>
    <col min="8962" max="8962" width="14.33203125" style="36" customWidth="1"/>
    <col min="8963" max="8963" width="16.33203125" style="36" customWidth="1"/>
    <col min="8964" max="8964" width="17.83203125" style="36" customWidth="1"/>
    <col min="8965" max="8968" width="16.1640625" style="36" customWidth="1"/>
    <col min="8969" max="8969" width="25.83203125" style="36" customWidth="1"/>
    <col min="8970" max="8970" width="14" style="36" customWidth="1"/>
    <col min="8971" max="8971" width="13.5" style="36" customWidth="1"/>
    <col min="8972" max="8972" width="15.5" style="36" customWidth="1"/>
    <col min="8973" max="8973" width="15.6640625" style="36" customWidth="1"/>
    <col min="8974" max="9216" width="8.83203125" style="36"/>
    <col min="9217" max="9217" width="20.6640625" style="36" customWidth="1"/>
    <col min="9218" max="9218" width="14.33203125" style="36" customWidth="1"/>
    <col min="9219" max="9219" width="16.33203125" style="36" customWidth="1"/>
    <col min="9220" max="9220" width="17.83203125" style="36" customWidth="1"/>
    <col min="9221" max="9224" width="16.1640625" style="36" customWidth="1"/>
    <col min="9225" max="9225" width="25.83203125" style="36" customWidth="1"/>
    <col min="9226" max="9226" width="14" style="36" customWidth="1"/>
    <col min="9227" max="9227" width="13.5" style="36" customWidth="1"/>
    <col min="9228" max="9228" width="15.5" style="36" customWidth="1"/>
    <col min="9229" max="9229" width="15.6640625" style="36" customWidth="1"/>
    <col min="9230" max="9472" width="8.83203125" style="36"/>
    <col min="9473" max="9473" width="20.6640625" style="36" customWidth="1"/>
    <col min="9474" max="9474" width="14.33203125" style="36" customWidth="1"/>
    <col min="9475" max="9475" width="16.33203125" style="36" customWidth="1"/>
    <col min="9476" max="9476" width="17.83203125" style="36" customWidth="1"/>
    <col min="9477" max="9480" width="16.1640625" style="36" customWidth="1"/>
    <col min="9481" max="9481" width="25.83203125" style="36" customWidth="1"/>
    <col min="9482" max="9482" width="14" style="36" customWidth="1"/>
    <col min="9483" max="9483" width="13.5" style="36" customWidth="1"/>
    <col min="9484" max="9484" width="15.5" style="36" customWidth="1"/>
    <col min="9485" max="9485" width="15.6640625" style="36" customWidth="1"/>
    <col min="9486" max="9728" width="8.83203125" style="36"/>
    <col min="9729" max="9729" width="20.6640625" style="36" customWidth="1"/>
    <col min="9730" max="9730" width="14.33203125" style="36" customWidth="1"/>
    <col min="9731" max="9731" width="16.33203125" style="36" customWidth="1"/>
    <col min="9732" max="9732" width="17.83203125" style="36" customWidth="1"/>
    <col min="9733" max="9736" width="16.1640625" style="36" customWidth="1"/>
    <col min="9737" max="9737" width="25.83203125" style="36" customWidth="1"/>
    <col min="9738" max="9738" width="14" style="36" customWidth="1"/>
    <col min="9739" max="9739" width="13.5" style="36" customWidth="1"/>
    <col min="9740" max="9740" width="15.5" style="36" customWidth="1"/>
    <col min="9741" max="9741" width="15.6640625" style="36" customWidth="1"/>
    <col min="9742" max="9984" width="8.83203125" style="36"/>
    <col min="9985" max="9985" width="20.6640625" style="36" customWidth="1"/>
    <col min="9986" max="9986" width="14.33203125" style="36" customWidth="1"/>
    <col min="9987" max="9987" width="16.33203125" style="36" customWidth="1"/>
    <col min="9988" max="9988" width="17.83203125" style="36" customWidth="1"/>
    <col min="9989" max="9992" width="16.1640625" style="36" customWidth="1"/>
    <col min="9993" max="9993" width="25.83203125" style="36" customWidth="1"/>
    <col min="9994" max="9994" width="14" style="36" customWidth="1"/>
    <col min="9995" max="9995" width="13.5" style="36" customWidth="1"/>
    <col min="9996" max="9996" width="15.5" style="36" customWidth="1"/>
    <col min="9997" max="9997" width="15.6640625" style="36" customWidth="1"/>
    <col min="9998" max="10240" width="8.83203125" style="36"/>
    <col min="10241" max="10241" width="20.6640625" style="36" customWidth="1"/>
    <col min="10242" max="10242" width="14.33203125" style="36" customWidth="1"/>
    <col min="10243" max="10243" width="16.33203125" style="36" customWidth="1"/>
    <col min="10244" max="10244" width="17.83203125" style="36" customWidth="1"/>
    <col min="10245" max="10248" width="16.1640625" style="36" customWidth="1"/>
    <col min="10249" max="10249" width="25.83203125" style="36" customWidth="1"/>
    <col min="10250" max="10250" width="14" style="36" customWidth="1"/>
    <col min="10251" max="10251" width="13.5" style="36" customWidth="1"/>
    <col min="10252" max="10252" width="15.5" style="36" customWidth="1"/>
    <col min="10253" max="10253" width="15.6640625" style="36" customWidth="1"/>
    <col min="10254" max="10496" width="8.83203125" style="36"/>
    <col min="10497" max="10497" width="20.6640625" style="36" customWidth="1"/>
    <col min="10498" max="10498" width="14.33203125" style="36" customWidth="1"/>
    <col min="10499" max="10499" width="16.33203125" style="36" customWidth="1"/>
    <col min="10500" max="10500" width="17.83203125" style="36" customWidth="1"/>
    <col min="10501" max="10504" width="16.1640625" style="36" customWidth="1"/>
    <col min="10505" max="10505" width="25.83203125" style="36" customWidth="1"/>
    <col min="10506" max="10506" width="14" style="36" customWidth="1"/>
    <col min="10507" max="10507" width="13.5" style="36" customWidth="1"/>
    <col min="10508" max="10508" width="15.5" style="36" customWidth="1"/>
    <col min="10509" max="10509" width="15.6640625" style="36" customWidth="1"/>
    <col min="10510" max="10752" width="8.83203125" style="36"/>
    <col min="10753" max="10753" width="20.6640625" style="36" customWidth="1"/>
    <col min="10754" max="10754" width="14.33203125" style="36" customWidth="1"/>
    <col min="10755" max="10755" width="16.33203125" style="36" customWidth="1"/>
    <col min="10756" max="10756" width="17.83203125" style="36" customWidth="1"/>
    <col min="10757" max="10760" width="16.1640625" style="36" customWidth="1"/>
    <col min="10761" max="10761" width="25.83203125" style="36" customWidth="1"/>
    <col min="10762" max="10762" width="14" style="36" customWidth="1"/>
    <col min="10763" max="10763" width="13.5" style="36" customWidth="1"/>
    <col min="10764" max="10764" width="15.5" style="36" customWidth="1"/>
    <col min="10765" max="10765" width="15.6640625" style="36" customWidth="1"/>
    <col min="10766" max="11008" width="8.83203125" style="36"/>
    <col min="11009" max="11009" width="20.6640625" style="36" customWidth="1"/>
    <col min="11010" max="11010" width="14.33203125" style="36" customWidth="1"/>
    <col min="11011" max="11011" width="16.33203125" style="36" customWidth="1"/>
    <col min="11012" max="11012" width="17.83203125" style="36" customWidth="1"/>
    <col min="11013" max="11016" width="16.1640625" style="36" customWidth="1"/>
    <col min="11017" max="11017" width="25.83203125" style="36" customWidth="1"/>
    <col min="11018" max="11018" width="14" style="36" customWidth="1"/>
    <col min="11019" max="11019" width="13.5" style="36" customWidth="1"/>
    <col min="11020" max="11020" width="15.5" style="36" customWidth="1"/>
    <col min="11021" max="11021" width="15.6640625" style="36" customWidth="1"/>
    <col min="11022" max="11264" width="8.83203125" style="36"/>
    <col min="11265" max="11265" width="20.6640625" style="36" customWidth="1"/>
    <col min="11266" max="11266" width="14.33203125" style="36" customWidth="1"/>
    <col min="11267" max="11267" width="16.33203125" style="36" customWidth="1"/>
    <col min="11268" max="11268" width="17.83203125" style="36" customWidth="1"/>
    <col min="11269" max="11272" width="16.1640625" style="36" customWidth="1"/>
    <col min="11273" max="11273" width="25.83203125" style="36" customWidth="1"/>
    <col min="11274" max="11274" width="14" style="36" customWidth="1"/>
    <col min="11275" max="11275" width="13.5" style="36" customWidth="1"/>
    <col min="11276" max="11276" width="15.5" style="36" customWidth="1"/>
    <col min="11277" max="11277" width="15.6640625" style="36" customWidth="1"/>
    <col min="11278" max="11520" width="8.83203125" style="36"/>
    <col min="11521" max="11521" width="20.6640625" style="36" customWidth="1"/>
    <col min="11522" max="11522" width="14.33203125" style="36" customWidth="1"/>
    <col min="11523" max="11523" width="16.33203125" style="36" customWidth="1"/>
    <col min="11524" max="11524" width="17.83203125" style="36" customWidth="1"/>
    <col min="11525" max="11528" width="16.1640625" style="36" customWidth="1"/>
    <col min="11529" max="11529" width="25.83203125" style="36" customWidth="1"/>
    <col min="11530" max="11530" width="14" style="36" customWidth="1"/>
    <col min="11531" max="11531" width="13.5" style="36" customWidth="1"/>
    <col min="11532" max="11532" width="15.5" style="36" customWidth="1"/>
    <col min="11533" max="11533" width="15.6640625" style="36" customWidth="1"/>
    <col min="11534" max="11776" width="8.83203125" style="36"/>
    <col min="11777" max="11777" width="20.6640625" style="36" customWidth="1"/>
    <col min="11778" max="11778" width="14.33203125" style="36" customWidth="1"/>
    <col min="11779" max="11779" width="16.33203125" style="36" customWidth="1"/>
    <col min="11780" max="11780" width="17.83203125" style="36" customWidth="1"/>
    <col min="11781" max="11784" width="16.1640625" style="36" customWidth="1"/>
    <col min="11785" max="11785" width="25.83203125" style="36" customWidth="1"/>
    <col min="11786" max="11786" width="14" style="36" customWidth="1"/>
    <col min="11787" max="11787" width="13.5" style="36" customWidth="1"/>
    <col min="11788" max="11788" width="15.5" style="36" customWidth="1"/>
    <col min="11789" max="11789" width="15.6640625" style="36" customWidth="1"/>
    <col min="11790" max="12032" width="8.83203125" style="36"/>
    <col min="12033" max="12033" width="20.6640625" style="36" customWidth="1"/>
    <col min="12034" max="12034" width="14.33203125" style="36" customWidth="1"/>
    <col min="12035" max="12035" width="16.33203125" style="36" customWidth="1"/>
    <col min="12036" max="12036" width="17.83203125" style="36" customWidth="1"/>
    <col min="12037" max="12040" width="16.1640625" style="36" customWidth="1"/>
    <col min="12041" max="12041" width="25.83203125" style="36" customWidth="1"/>
    <col min="12042" max="12042" width="14" style="36" customWidth="1"/>
    <col min="12043" max="12043" width="13.5" style="36" customWidth="1"/>
    <col min="12044" max="12044" width="15.5" style="36" customWidth="1"/>
    <col min="12045" max="12045" width="15.6640625" style="36" customWidth="1"/>
    <col min="12046" max="12288" width="8.83203125" style="36"/>
    <col min="12289" max="12289" width="20.6640625" style="36" customWidth="1"/>
    <col min="12290" max="12290" width="14.33203125" style="36" customWidth="1"/>
    <col min="12291" max="12291" width="16.33203125" style="36" customWidth="1"/>
    <col min="12292" max="12292" width="17.83203125" style="36" customWidth="1"/>
    <col min="12293" max="12296" width="16.1640625" style="36" customWidth="1"/>
    <col min="12297" max="12297" width="25.83203125" style="36" customWidth="1"/>
    <col min="12298" max="12298" width="14" style="36" customWidth="1"/>
    <col min="12299" max="12299" width="13.5" style="36" customWidth="1"/>
    <col min="12300" max="12300" width="15.5" style="36" customWidth="1"/>
    <col min="12301" max="12301" width="15.6640625" style="36" customWidth="1"/>
    <col min="12302" max="12544" width="8.83203125" style="36"/>
    <col min="12545" max="12545" width="20.6640625" style="36" customWidth="1"/>
    <col min="12546" max="12546" width="14.33203125" style="36" customWidth="1"/>
    <col min="12547" max="12547" width="16.33203125" style="36" customWidth="1"/>
    <col min="12548" max="12548" width="17.83203125" style="36" customWidth="1"/>
    <col min="12549" max="12552" width="16.1640625" style="36" customWidth="1"/>
    <col min="12553" max="12553" width="25.83203125" style="36" customWidth="1"/>
    <col min="12554" max="12554" width="14" style="36" customWidth="1"/>
    <col min="12555" max="12555" width="13.5" style="36" customWidth="1"/>
    <col min="12556" max="12556" width="15.5" style="36" customWidth="1"/>
    <col min="12557" max="12557" width="15.6640625" style="36" customWidth="1"/>
    <col min="12558" max="12800" width="8.83203125" style="36"/>
    <col min="12801" max="12801" width="20.6640625" style="36" customWidth="1"/>
    <col min="12802" max="12802" width="14.33203125" style="36" customWidth="1"/>
    <col min="12803" max="12803" width="16.33203125" style="36" customWidth="1"/>
    <col min="12804" max="12804" width="17.83203125" style="36" customWidth="1"/>
    <col min="12805" max="12808" width="16.1640625" style="36" customWidth="1"/>
    <col min="12809" max="12809" width="25.83203125" style="36" customWidth="1"/>
    <col min="12810" max="12810" width="14" style="36" customWidth="1"/>
    <col min="12811" max="12811" width="13.5" style="36" customWidth="1"/>
    <col min="12812" max="12812" width="15.5" style="36" customWidth="1"/>
    <col min="12813" max="12813" width="15.6640625" style="36" customWidth="1"/>
    <col min="12814" max="13056" width="8.83203125" style="36"/>
    <col min="13057" max="13057" width="20.6640625" style="36" customWidth="1"/>
    <col min="13058" max="13058" width="14.33203125" style="36" customWidth="1"/>
    <col min="13059" max="13059" width="16.33203125" style="36" customWidth="1"/>
    <col min="13060" max="13060" width="17.83203125" style="36" customWidth="1"/>
    <col min="13061" max="13064" width="16.1640625" style="36" customWidth="1"/>
    <col min="13065" max="13065" width="25.83203125" style="36" customWidth="1"/>
    <col min="13066" max="13066" width="14" style="36" customWidth="1"/>
    <col min="13067" max="13067" width="13.5" style="36" customWidth="1"/>
    <col min="13068" max="13068" width="15.5" style="36" customWidth="1"/>
    <col min="13069" max="13069" width="15.6640625" style="36" customWidth="1"/>
    <col min="13070" max="13312" width="8.83203125" style="36"/>
    <col min="13313" max="13313" width="20.6640625" style="36" customWidth="1"/>
    <col min="13314" max="13314" width="14.33203125" style="36" customWidth="1"/>
    <col min="13315" max="13315" width="16.33203125" style="36" customWidth="1"/>
    <col min="13316" max="13316" width="17.83203125" style="36" customWidth="1"/>
    <col min="13317" max="13320" width="16.1640625" style="36" customWidth="1"/>
    <col min="13321" max="13321" width="25.83203125" style="36" customWidth="1"/>
    <col min="13322" max="13322" width="14" style="36" customWidth="1"/>
    <col min="13323" max="13323" width="13.5" style="36" customWidth="1"/>
    <col min="13324" max="13324" width="15.5" style="36" customWidth="1"/>
    <col min="13325" max="13325" width="15.6640625" style="36" customWidth="1"/>
    <col min="13326" max="13568" width="8.83203125" style="36"/>
    <col min="13569" max="13569" width="20.6640625" style="36" customWidth="1"/>
    <col min="13570" max="13570" width="14.33203125" style="36" customWidth="1"/>
    <col min="13571" max="13571" width="16.33203125" style="36" customWidth="1"/>
    <col min="13572" max="13572" width="17.83203125" style="36" customWidth="1"/>
    <col min="13573" max="13576" width="16.1640625" style="36" customWidth="1"/>
    <col min="13577" max="13577" width="25.83203125" style="36" customWidth="1"/>
    <col min="13578" max="13578" width="14" style="36" customWidth="1"/>
    <col min="13579" max="13579" width="13.5" style="36" customWidth="1"/>
    <col min="13580" max="13580" width="15.5" style="36" customWidth="1"/>
    <col min="13581" max="13581" width="15.6640625" style="36" customWidth="1"/>
    <col min="13582" max="13824" width="8.83203125" style="36"/>
    <col min="13825" max="13825" width="20.6640625" style="36" customWidth="1"/>
    <col min="13826" max="13826" width="14.33203125" style="36" customWidth="1"/>
    <col min="13827" max="13827" width="16.33203125" style="36" customWidth="1"/>
    <col min="13828" max="13828" width="17.83203125" style="36" customWidth="1"/>
    <col min="13829" max="13832" width="16.1640625" style="36" customWidth="1"/>
    <col min="13833" max="13833" width="25.83203125" style="36" customWidth="1"/>
    <col min="13834" max="13834" width="14" style="36" customWidth="1"/>
    <col min="13835" max="13835" width="13.5" style="36" customWidth="1"/>
    <col min="13836" max="13836" width="15.5" style="36" customWidth="1"/>
    <col min="13837" max="13837" width="15.6640625" style="36" customWidth="1"/>
    <col min="13838" max="14080" width="8.83203125" style="36"/>
    <col min="14081" max="14081" width="20.6640625" style="36" customWidth="1"/>
    <col min="14082" max="14082" width="14.33203125" style="36" customWidth="1"/>
    <col min="14083" max="14083" width="16.33203125" style="36" customWidth="1"/>
    <col min="14084" max="14084" width="17.83203125" style="36" customWidth="1"/>
    <col min="14085" max="14088" width="16.1640625" style="36" customWidth="1"/>
    <col min="14089" max="14089" width="25.83203125" style="36" customWidth="1"/>
    <col min="14090" max="14090" width="14" style="36" customWidth="1"/>
    <col min="14091" max="14091" width="13.5" style="36" customWidth="1"/>
    <col min="14092" max="14092" width="15.5" style="36" customWidth="1"/>
    <col min="14093" max="14093" width="15.6640625" style="36" customWidth="1"/>
    <col min="14094" max="14336" width="8.83203125" style="36"/>
    <col min="14337" max="14337" width="20.6640625" style="36" customWidth="1"/>
    <col min="14338" max="14338" width="14.33203125" style="36" customWidth="1"/>
    <col min="14339" max="14339" width="16.33203125" style="36" customWidth="1"/>
    <col min="14340" max="14340" width="17.83203125" style="36" customWidth="1"/>
    <col min="14341" max="14344" width="16.1640625" style="36" customWidth="1"/>
    <col min="14345" max="14345" width="25.83203125" style="36" customWidth="1"/>
    <col min="14346" max="14346" width="14" style="36" customWidth="1"/>
    <col min="14347" max="14347" width="13.5" style="36" customWidth="1"/>
    <col min="14348" max="14348" width="15.5" style="36" customWidth="1"/>
    <col min="14349" max="14349" width="15.6640625" style="36" customWidth="1"/>
    <col min="14350" max="14592" width="8.83203125" style="36"/>
    <col min="14593" max="14593" width="20.6640625" style="36" customWidth="1"/>
    <col min="14594" max="14594" width="14.33203125" style="36" customWidth="1"/>
    <col min="14595" max="14595" width="16.33203125" style="36" customWidth="1"/>
    <col min="14596" max="14596" width="17.83203125" style="36" customWidth="1"/>
    <col min="14597" max="14600" width="16.1640625" style="36" customWidth="1"/>
    <col min="14601" max="14601" width="25.83203125" style="36" customWidth="1"/>
    <col min="14602" max="14602" width="14" style="36" customWidth="1"/>
    <col min="14603" max="14603" width="13.5" style="36" customWidth="1"/>
    <col min="14604" max="14604" width="15.5" style="36" customWidth="1"/>
    <col min="14605" max="14605" width="15.6640625" style="36" customWidth="1"/>
    <col min="14606" max="14848" width="8.83203125" style="36"/>
    <col min="14849" max="14849" width="20.6640625" style="36" customWidth="1"/>
    <col min="14850" max="14850" width="14.33203125" style="36" customWidth="1"/>
    <col min="14851" max="14851" width="16.33203125" style="36" customWidth="1"/>
    <col min="14852" max="14852" width="17.83203125" style="36" customWidth="1"/>
    <col min="14853" max="14856" width="16.1640625" style="36" customWidth="1"/>
    <col min="14857" max="14857" width="25.83203125" style="36" customWidth="1"/>
    <col min="14858" max="14858" width="14" style="36" customWidth="1"/>
    <col min="14859" max="14859" width="13.5" style="36" customWidth="1"/>
    <col min="14860" max="14860" width="15.5" style="36" customWidth="1"/>
    <col min="14861" max="14861" width="15.6640625" style="36" customWidth="1"/>
    <col min="14862" max="15104" width="8.83203125" style="36"/>
    <col min="15105" max="15105" width="20.6640625" style="36" customWidth="1"/>
    <col min="15106" max="15106" width="14.33203125" style="36" customWidth="1"/>
    <col min="15107" max="15107" width="16.33203125" style="36" customWidth="1"/>
    <col min="15108" max="15108" width="17.83203125" style="36" customWidth="1"/>
    <col min="15109" max="15112" width="16.1640625" style="36" customWidth="1"/>
    <col min="15113" max="15113" width="25.83203125" style="36" customWidth="1"/>
    <col min="15114" max="15114" width="14" style="36" customWidth="1"/>
    <col min="15115" max="15115" width="13.5" style="36" customWidth="1"/>
    <col min="15116" max="15116" width="15.5" style="36" customWidth="1"/>
    <col min="15117" max="15117" width="15.6640625" style="36" customWidth="1"/>
    <col min="15118" max="15360" width="8.83203125" style="36"/>
    <col min="15361" max="15361" width="20.6640625" style="36" customWidth="1"/>
    <col min="15362" max="15362" width="14.33203125" style="36" customWidth="1"/>
    <col min="15363" max="15363" width="16.33203125" style="36" customWidth="1"/>
    <col min="15364" max="15364" width="17.83203125" style="36" customWidth="1"/>
    <col min="15365" max="15368" width="16.1640625" style="36" customWidth="1"/>
    <col min="15369" max="15369" width="25.83203125" style="36" customWidth="1"/>
    <col min="15370" max="15370" width="14" style="36" customWidth="1"/>
    <col min="15371" max="15371" width="13.5" style="36" customWidth="1"/>
    <col min="15372" max="15372" width="15.5" style="36" customWidth="1"/>
    <col min="15373" max="15373" width="15.6640625" style="36" customWidth="1"/>
    <col min="15374" max="15616" width="8.83203125" style="36"/>
    <col min="15617" max="15617" width="20.6640625" style="36" customWidth="1"/>
    <col min="15618" max="15618" width="14.33203125" style="36" customWidth="1"/>
    <col min="15619" max="15619" width="16.33203125" style="36" customWidth="1"/>
    <col min="15620" max="15620" width="17.83203125" style="36" customWidth="1"/>
    <col min="15621" max="15624" width="16.1640625" style="36" customWidth="1"/>
    <col min="15625" max="15625" width="25.83203125" style="36" customWidth="1"/>
    <col min="15626" max="15626" width="14" style="36" customWidth="1"/>
    <col min="15627" max="15627" width="13.5" style="36" customWidth="1"/>
    <col min="15628" max="15628" width="15.5" style="36" customWidth="1"/>
    <col min="15629" max="15629" width="15.6640625" style="36" customWidth="1"/>
    <col min="15630" max="15872" width="8.83203125" style="36"/>
    <col min="15873" max="15873" width="20.6640625" style="36" customWidth="1"/>
    <col min="15874" max="15874" width="14.33203125" style="36" customWidth="1"/>
    <col min="15875" max="15875" width="16.33203125" style="36" customWidth="1"/>
    <col min="15876" max="15876" width="17.83203125" style="36" customWidth="1"/>
    <col min="15877" max="15880" width="16.1640625" style="36" customWidth="1"/>
    <col min="15881" max="15881" width="25.83203125" style="36" customWidth="1"/>
    <col min="15882" max="15882" width="14" style="36" customWidth="1"/>
    <col min="15883" max="15883" width="13.5" style="36" customWidth="1"/>
    <col min="15884" max="15884" width="15.5" style="36" customWidth="1"/>
    <col min="15885" max="15885" width="15.6640625" style="36" customWidth="1"/>
    <col min="15886" max="16128" width="8.83203125" style="36"/>
    <col min="16129" max="16129" width="20.6640625" style="36" customWidth="1"/>
    <col min="16130" max="16130" width="14.33203125" style="36" customWidth="1"/>
    <col min="16131" max="16131" width="16.33203125" style="36" customWidth="1"/>
    <col min="16132" max="16132" width="17.83203125" style="36" customWidth="1"/>
    <col min="16133" max="16136" width="16.1640625" style="36" customWidth="1"/>
    <col min="16137" max="16137" width="25.83203125" style="36" customWidth="1"/>
    <col min="16138" max="16138" width="14" style="36" customWidth="1"/>
    <col min="16139" max="16139" width="13.5" style="36" customWidth="1"/>
    <col min="16140" max="16140" width="15.5" style="36" customWidth="1"/>
    <col min="16141" max="16141" width="15.6640625" style="36" customWidth="1"/>
    <col min="16142" max="16384" width="8.83203125" style="36"/>
  </cols>
  <sheetData>
    <row r="1" spans="1:17" ht="20">
      <c r="A1" s="34" t="e">
        <f>'www.NadlanUSA.co.il'!#REF!</f>
        <v>#REF!</v>
      </c>
      <c r="B1" s="35"/>
      <c r="C1" s="35"/>
      <c r="J1" s="52"/>
      <c r="K1" s="52"/>
      <c r="L1" s="52"/>
      <c r="M1" s="52"/>
      <c r="N1" s="53"/>
    </row>
    <row r="2" spans="1:17" s="51" customFormat="1">
      <c r="A2" s="57" t="s">
        <v>44</v>
      </c>
      <c r="B2" s="68"/>
      <c r="C2" s="68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7">
      <c r="A3" s="38" t="s">
        <v>45</v>
      </c>
      <c r="B3" s="39"/>
      <c r="C3" s="39"/>
      <c r="D3" s="39"/>
      <c r="E3" s="39"/>
      <c r="F3" s="39"/>
      <c r="G3" s="39"/>
      <c r="H3" s="39"/>
      <c r="I3" s="55"/>
      <c r="J3" s="55"/>
      <c r="K3" s="335"/>
      <c r="L3" s="335"/>
      <c r="M3" s="335"/>
      <c r="N3" s="56"/>
    </row>
    <row r="4" spans="1:17" s="51" customFormat="1">
      <c r="A4" s="124" t="s">
        <v>46</v>
      </c>
      <c r="B4" s="125">
        <v>1</v>
      </c>
      <c r="C4" s="126"/>
      <c r="D4" s="127" t="s">
        <v>24</v>
      </c>
      <c r="E4" s="128" t="s">
        <v>47</v>
      </c>
      <c r="F4" s="127" t="s">
        <v>48</v>
      </c>
      <c r="G4" s="127" t="s">
        <v>49</v>
      </c>
      <c r="H4" s="129" t="s">
        <v>50</v>
      </c>
      <c r="I4" s="57"/>
      <c r="J4" s="58"/>
      <c r="K4" s="57"/>
      <c r="L4" s="57"/>
      <c r="M4" s="59"/>
      <c r="N4" s="56"/>
    </row>
    <row r="5" spans="1:17" s="51" customFormat="1">
      <c r="A5" s="124" t="s">
        <v>51</v>
      </c>
      <c r="B5" s="125">
        <v>1954</v>
      </c>
      <c r="C5" s="146" t="s">
        <v>52</v>
      </c>
      <c r="D5" s="147">
        <v>0</v>
      </c>
      <c r="E5" s="148">
        <f>'www.NadlanUSA.co.il'!F24</f>
        <v>78000</v>
      </c>
      <c r="F5" s="149"/>
      <c r="G5" s="150">
        <f>C35/E5</f>
        <v>9.2948717948717952E-2</v>
      </c>
      <c r="H5" s="151">
        <f>E5/B4</f>
        <v>78000</v>
      </c>
      <c r="I5" s="57"/>
      <c r="J5" s="58"/>
      <c r="K5" s="57"/>
      <c r="L5" s="57"/>
      <c r="M5" s="60"/>
      <c r="N5" s="56"/>
    </row>
    <row r="6" spans="1:17" s="51" customFormat="1">
      <c r="A6" s="124" t="s">
        <v>53</v>
      </c>
      <c r="B6" s="56" t="e">
        <f>'www.NadlanUSA.co.il'!#REF!</f>
        <v>#REF!</v>
      </c>
      <c r="C6" s="152" t="s">
        <v>54</v>
      </c>
      <c r="D6" s="153">
        <v>5</v>
      </c>
      <c r="E6" s="154"/>
      <c r="F6" s="155">
        <f>E5*(1+'www.NadlanUSA.co.il'!F62)*(1+'www.NadlanUSA.co.il'!F62)*(1+'www.NadlanUSA.co.il'!F62)*(1+'www.NadlanUSA.co.il'!F62)*(1+'www.NadlanUSA.co.il'!F62)</f>
        <v>93763.784837036161</v>
      </c>
      <c r="G6" s="156">
        <f>H35/F6</f>
        <v>8.3024352017036479E-2</v>
      </c>
      <c r="H6" s="157">
        <f>F6/B4</f>
        <v>93763.784837036161</v>
      </c>
      <c r="I6" s="61"/>
      <c r="J6" s="58"/>
      <c r="K6" s="57"/>
      <c r="L6" s="57"/>
      <c r="M6" s="62"/>
      <c r="N6" s="56"/>
    </row>
    <row r="7" spans="1:17">
      <c r="A7" s="38" t="s">
        <v>55</v>
      </c>
      <c r="B7" s="39"/>
      <c r="C7" s="39"/>
      <c r="D7" s="39"/>
      <c r="E7" s="39"/>
      <c r="F7" s="39"/>
      <c r="G7" s="39"/>
      <c r="H7" s="39"/>
      <c r="I7" s="63"/>
      <c r="J7" s="55"/>
      <c r="K7" s="55"/>
      <c r="L7" s="55"/>
      <c r="M7" s="55"/>
      <c r="N7" s="64"/>
      <c r="O7" s="54"/>
      <c r="P7" s="54"/>
      <c r="Q7" s="54"/>
    </row>
    <row r="8" spans="1:17" s="51" customFormat="1">
      <c r="A8" s="130" t="s">
        <v>24</v>
      </c>
      <c r="B8" s="104"/>
      <c r="C8" s="131">
        <v>1</v>
      </c>
      <c r="D8" s="131">
        <v>2</v>
      </c>
      <c r="E8" s="131">
        <v>3</v>
      </c>
      <c r="F8" s="131">
        <v>4</v>
      </c>
      <c r="G8" s="131">
        <v>5</v>
      </c>
      <c r="H8" s="131">
        <v>6</v>
      </c>
      <c r="I8" s="65"/>
      <c r="L8" s="55"/>
      <c r="M8" s="55"/>
      <c r="N8" s="64"/>
      <c r="O8" s="54"/>
      <c r="P8" s="54"/>
      <c r="Q8" s="54"/>
    </row>
    <row r="9" spans="1:17">
      <c r="A9" s="132" t="s">
        <v>56</v>
      </c>
      <c r="B9" s="133"/>
      <c r="C9" s="134"/>
      <c r="D9" s="40">
        <f>'www.NadlanUSA.co.il'!F63</f>
        <v>2.5000000000000001E-2</v>
      </c>
      <c r="E9" s="40">
        <f>D9</f>
        <v>2.5000000000000001E-2</v>
      </c>
      <c r="F9" s="40">
        <f t="shared" ref="F9:H9" si="0">E9</f>
        <v>2.5000000000000001E-2</v>
      </c>
      <c r="G9" s="40">
        <f t="shared" si="0"/>
        <v>2.5000000000000001E-2</v>
      </c>
      <c r="H9" s="40">
        <f t="shared" si="0"/>
        <v>2.5000000000000001E-2</v>
      </c>
      <c r="I9" s="66"/>
      <c r="L9" s="67"/>
      <c r="M9" s="67"/>
      <c r="N9" s="64"/>
      <c r="O9" s="54"/>
      <c r="P9" s="54"/>
      <c r="Q9" s="54"/>
    </row>
    <row r="10" spans="1:17">
      <c r="A10" s="135" t="s">
        <v>57</v>
      </c>
      <c r="B10" s="136"/>
      <c r="C10" s="137"/>
      <c r="D10" s="41">
        <f>'www.NadlanUSA.co.il'!F64</f>
        <v>2.5000000000000001E-2</v>
      </c>
      <c r="E10" s="41">
        <f>D10</f>
        <v>2.5000000000000001E-2</v>
      </c>
      <c r="F10" s="41">
        <f t="shared" ref="F10:H10" si="1">E10</f>
        <v>2.5000000000000001E-2</v>
      </c>
      <c r="G10" s="41">
        <f t="shared" si="1"/>
        <v>2.5000000000000001E-2</v>
      </c>
      <c r="H10" s="41">
        <f t="shared" si="1"/>
        <v>2.5000000000000001E-2</v>
      </c>
      <c r="I10" s="65"/>
      <c r="L10" s="67"/>
      <c r="M10" s="67"/>
      <c r="N10" s="64"/>
      <c r="O10" s="54"/>
      <c r="P10" s="54"/>
      <c r="Q10" s="54"/>
    </row>
    <row r="11" spans="1:17">
      <c r="A11" s="135" t="s">
        <v>104</v>
      </c>
      <c r="B11" s="136"/>
      <c r="C11" s="137">
        <v>0</v>
      </c>
      <c r="D11" s="41">
        <f>D12/8%</f>
        <v>0.62500000000000056</v>
      </c>
      <c r="E11" s="41">
        <f t="shared" ref="E11:H11" si="2">E12/8%</f>
        <v>0.62500000000000056</v>
      </c>
      <c r="F11" s="41">
        <f t="shared" si="2"/>
        <v>0.62500000000000056</v>
      </c>
      <c r="G11" s="41">
        <f t="shared" si="2"/>
        <v>0.62500000000000056</v>
      </c>
      <c r="H11" s="41">
        <f t="shared" si="2"/>
        <v>0.62500000000000056</v>
      </c>
      <c r="I11" s="65"/>
      <c r="L11" s="67"/>
      <c r="M11" s="67"/>
      <c r="N11" s="64"/>
      <c r="O11" s="54"/>
      <c r="P11" s="54"/>
      <c r="Q11" s="54"/>
    </row>
    <row r="12" spans="1:17">
      <c r="A12" s="135" t="s">
        <v>58</v>
      </c>
      <c r="B12" s="136"/>
      <c r="C12" s="137">
        <f>-C19/C18</f>
        <v>5.0000000000000044E-2</v>
      </c>
      <c r="D12" s="41">
        <f>1-'www.NadlanUSA.co.il'!L63</f>
        <v>5.0000000000000044E-2</v>
      </c>
      <c r="E12" s="41">
        <f>D12</f>
        <v>5.0000000000000044E-2</v>
      </c>
      <c r="F12" s="41">
        <f t="shared" ref="F12:H12" si="3">E12</f>
        <v>5.0000000000000044E-2</v>
      </c>
      <c r="G12" s="41">
        <f t="shared" si="3"/>
        <v>5.0000000000000044E-2</v>
      </c>
      <c r="H12" s="41">
        <f t="shared" si="3"/>
        <v>5.0000000000000044E-2</v>
      </c>
      <c r="L12" s="67"/>
      <c r="M12" s="67"/>
      <c r="N12" s="64"/>
      <c r="O12" s="54"/>
      <c r="P12" s="54"/>
      <c r="Q12" s="54"/>
    </row>
    <row r="13" spans="1:17">
      <c r="A13" s="135" t="s">
        <v>59</v>
      </c>
      <c r="B13" s="136"/>
      <c r="C13" s="137">
        <f>-C20/C18</f>
        <v>0</v>
      </c>
      <c r="D13" s="41">
        <v>0</v>
      </c>
      <c r="E13" s="41">
        <v>0</v>
      </c>
      <c r="F13" s="41">
        <v>0</v>
      </c>
      <c r="G13" s="41">
        <v>0</v>
      </c>
      <c r="H13" s="42">
        <v>0</v>
      </c>
      <c r="L13" s="67"/>
      <c r="M13" s="67"/>
      <c r="N13" s="68"/>
      <c r="O13" s="54"/>
      <c r="P13" s="54"/>
      <c r="Q13" s="54"/>
    </row>
    <row r="14" spans="1:17">
      <c r="A14" s="138" t="s">
        <v>60</v>
      </c>
      <c r="B14" s="139"/>
      <c r="C14" s="140">
        <f t="shared" ref="C14:H14" si="4">SUM(C12:C13)</f>
        <v>5.0000000000000044E-2</v>
      </c>
      <c r="D14" s="141">
        <f>SUM(D12:D13)</f>
        <v>5.0000000000000044E-2</v>
      </c>
      <c r="E14" s="141">
        <f>SUM(E12:E13)</f>
        <v>5.0000000000000044E-2</v>
      </c>
      <c r="F14" s="141">
        <f t="shared" si="4"/>
        <v>5.0000000000000044E-2</v>
      </c>
      <c r="G14" s="141">
        <f t="shared" si="4"/>
        <v>5.0000000000000044E-2</v>
      </c>
      <c r="H14" s="142">
        <f t="shared" si="4"/>
        <v>5.0000000000000044E-2</v>
      </c>
      <c r="L14" s="67"/>
      <c r="M14" s="67"/>
      <c r="N14" s="64"/>
      <c r="O14" s="54"/>
      <c r="P14" s="54"/>
      <c r="Q14" s="54"/>
    </row>
    <row r="15" spans="1:17" ht="15">
      <c r="A15" s="57"/>
      <c r="B15" s="106"/>
      <c r="C15" s="69"/>
      <c r="D15" s="113"/>
      <c r="E15" s="69"/>
      <c r="F15" s="69"/>
      <c r="G15" s="69"/>
      <c r="H15" s="69"/>
      <c r="I15" s="69"/>
      <c r="J15" s="69"/>
      <c r="K15" s="69"/>
      <c r="L15" s="69"/>
      <c r="M15" s="69"/>
      <c r="N15" s="64"/>
      <c r="O15" s="54"/>
      <c r="P15" s="54"/>
      <c r="Q15" s="54"/>
    </row>
    <row r="16" spans="1:17">
      <c r="A16" s="114"/>
      <c r="B16" s="68"/>
      <c r="C16" s="43">
        <v>1</v>
      </c>
      <c r="D16" s="43">
        <v>2</v>
      </c>
      <c r="E16" s="43">
        <v>3</v>
      </c>
      <c r="F16" s="43">
        <v>4</v>
      </c>
      <c r="G16" s="43">
        <v>5</v>
      </c>
      <c r="H16" s="43">
        <v>6</v>
      </c>
      <c r="J16" s="162" t="s">
        <v>105</v>
      </c>
      <c r="K16" s="51" t="s">
        <v>106</v>
      </c>
      <c r="L16" s="55"/>
      <c r="N16" s="64"/>
      <c r="O16" s="54"/>
      <c r="P16" s="54"/>
      <c r="Q16" s="54"/>
    </row>
    <row r="17" spans="1:17">
      <c r="A17" s="115" t="s">
        <v>61</v>
      </c>
      <c r="B17" s="68"/>
      <c r="C17" s="116"/>
      <c r="D17" s="116"/>
      <c r="E17" s="116"/>
      <c r="F17" s="117"/>
      <c r="G17" s="117"/>
      <c r="H17" s="117"/>
      <c r="J17" s="163"/>
      <c r="L17" s="55"/>
      <c r="N17" s="64"/>
      <c r="O17" s="54"/>
      <c r="P17" s="54"/>
      <c r="Q17" s="54"/>
    </row>
    <row r="18" spans="1:17">
      <c r="A18" s="96" t="s">
        <v>62</v>
      </c>
      <c r="B18" s="68"/>
      <c r="C18" s="44">
        <f>'www.NadlanUSA.co.il'!E27</f>
        <v>12000</v>
      </c>
      <c r="D18" s="44">
        <f>C18*(1+D9)</f>
        <v>12299.999999999998</v>
      </c>
      <c r="E18" s="44">
        <f>D18*(1+E9)</f>
        <v>12607.499999999996</v>
      </c>
      <c r="F18" s="44">
        <f>E18*(1+F9)</f>
        <v>12922.687499999995</v>
      </c>
      <c r="G18" s="44">
        <f>F18*(1+G9)</f>
        <v>13245.754687499993</v>
      </c>
      <c r="H18" s="44">
        <f>G18*(1+H9)</f>
        <v>13576.898554687492</v>
      </c>
      <c r="J18" s="164">
        <f>SUM(C18:G18)</f>
        <v>63075.942187499983</v>
      </c>
      <c r="K18" s="164">
        <f>J18/5</f>
        <v>12615.188437499997</v>
      </c>
      <c r="L18" s="70"/>
      <c r="N18" s="64"/>
      <c r="O18" s="54"/>
      <c r="P18" s="54"/>
      <c r="Q18" s="54"/>
    </row>
    <row r="19" spans="1:17">
      <c r="A19" s="92" t="s">
        <v>58</v>
      </c>
      <c r="B19" s="68"/>
      <c r="C19" s="44">
        <f>IF('www.NadlanUSA.co.il'!J56=Sheet1!F4,0,(C18*('www.NadlanUSA.co.il'!L63-1)))</f>
        <v>-600.00000000000057</v>
      </c>
      <c r="D19" s="44">
        <f>-D12*D18</f>
        <v>-615.00000000000045</v>
      </c>
      <c r="E19" s="44">
        <f>-E18*E12</f>
        <v>-630.37500000000034</v>
      </c>
      <c r="F19" s="44">
        <f>F18*-F12</f>
        <v>-646.13437500000032</v>
      </c>
      <c r="G19" s="44">
        <f>G18*-G12</f>
        <v>-662.28773437500024</v>
      </c>
      <c r="H19" s="44">
        <f>H18*-H12</f>
        <v>-678.84492773437523</v>
      </c>
      <c r="I19" s="36"/>
      <c r="J19" s="164">
        <f>SUM(C19:G19)</f>
        <v>-3153.7971093750016</v>
      </c>
      <c r="K19" s="164">
        <f>J19/5</f>
        <v>-630.75942187500027</v>
      </c>
      <c r="L19" s="70"/>
      <c r="N19" s="64"/>
      <c r="O19" s="54"/>
      <c r="P19" s="54"/>
      <c r="Q19" s="54"/>
    </row>
    <row r="20" spans="1:17">
      <c r="A20" s="92" t="s">
        <v>59</v>
      </c>
      <c r="B20" s="68"/>
      <c r="C20" s="95"/>
      <c r="D20" s="95">
        <f>-D13*D18</f>
        <v>0</v>
      </c>
      <c r="E20" s="95">
        <f>-E13*E18</f>
        <v>0</v>
      </c>
      <c r="F20" s="95">
        <f>-F13*F18</f>
        <v>0</v>
      </c>
      <c r="G20" s="95">
        <f>-G13*G18</f>
        <v>0</v>
      </c>
      <c r="H20" s="95">
        <f>-H13*H18</f>
        <v>0</v>
      </c>
      <c r="J20" s="95">
        <f>-J13*J18</f>
        <v>0</v>
      </c>
      <c r="K20" s="95">
        <f>-K13*K18</f>
        <v>0</v>
      </c>
      <c r="L20" s="70"/>
      <c r="N20" s="54"/>
      <c r="O20" s="54"/>
      <c r="P20" s="54"/>
      <c r="Q20" s="54"/>
    </row>
    <row r="21" spans="1:17">
      <c r="A21" s="96" t="s">
        <v>63</v>
      </c>
      <c r="B21" s="68"/>
      <c r="C21" s="44">
        <f t="shared" ref="C21:H21" si="5">SUM(C18:C20)</f>
        <v>11400</v>
      </c>
      <c r="D21" s="44">
        <f t="shared" si="5"/>
        <v>11684.999999999998</v>
      </c>
      <c r="E21" s="44">
        <f t="shared" si="5"/>
        <v>11977.124999999996</v>
      </c>
      <c r="F21" s="44">
        <f t="shared" si="5"/>
        <v>12276.553124999995</v>
      </c>
      <c r="G21" s="44">
        <f t="shared" si="5"/>
        <v>12583.466953124993</v>
      </c>
      <c r="H21" s="44">
        <f t="shared" si="5"/>
        <v>12898.053626953117</v>
      </c>
      <c r="J21" s="44">
        <f>SUM(J18:J20)</f>
        <v>59922.145078124981</v>
      </c>
      <c r="K21" s="44">
        <f>SUM(K18:K20)</f>
        <v>11984.429015624997</v>
      </c>
      <c r="L21" s="70"/>
      <c r="N21" s="54"/>
      <c r="O21" s="54"/>
      <c r="P21" s="54"/>
      <c r="Q21" s="54"/>
    </row>
    <row r="22" spans="1:17">
      <c r="A22" s="92" t="s">
        <v>64</v>
      </c>
      <c r="B22" s="68"/>
      <c r="C22" s="95">
        <v>0</v>
      </c>
      <c r="D22" s="95">
        <f>C22*(1+D9)</f>
        <v>0</v>
      </c>
      <c r="E22" s="95">
        <f>D22*(1+E9)</f>
        <v>0</v>
      </c>
      <c r="F22" s="95">
        <f>E22*(1+F9)</f>
        <v>0</v>
      </c>
      <c r="G22" s="95">
        <f>F22*(1+G9)</f>
        <v>0</v>
      </c>
      <c r="H22" s="95">
        <f>G22*(1+H9)</f>
        <v>0</v>
      </c>
      <c r="J22" s="70"/>
      <c r="L22" s="70"/>
      <c r="N22" s="54"/>
      <c r="O22" s="54"/>
      <c r="P22" s="54"/>
      <c r="Q22" s="54"/>
    </row>
    <row r="23" spans="1:17">
      <c r="A23" s="96" t="s">
        <v>65</v>
      </c>
      <c r="B23" s="118"/>
      <c r="C23" s="158">
        <f>C21+C22</f>
        <v>11400</v>
      </c>
      <c r="D23" s="158">
        <f t="shared" ref="D23:H23" si="6">D21+D22</f>
        <v>11684.999999999998</v>
      </c>
      <c r="E23" s="158">
        <f t="shared" si="6"/>
        <v>11977.124999999996</v>
      </c>
      <c r="F23" s="158">
        <f t="shared" si="6"/>
        <v>12276.553124999995</v>
      </c>
      <c r="G23" s="158">
        <f t="shared" si="6"/>
        <v>12583.466953124993</v>
      </c>
      <c r="H23" s="158">
        <f t="shared" si="6"/>
        <v>12898.053626953117</v>
      </c>
      <c r="J23" s="70"/>
      <c r="L23" s="70"/>
      <c r="N23" s="54"/>
      <c r="O23" s="54"/>
      <c r="P23" s="54"/>
      <c r="Q23" s="54"/>
    </row>
    <row r="24" spans="1:17">
      <c r="A24" s="96"/>
      <c r="B24" s="118"/>
      <c r="C24" s="44"/>
      <c r="D24" s="119">
        <f>(D23/C23)-1</f>
        <v>2.4999999999999911E-2</v>
      </c>
      <c r="E24" s="119">
        <f>(E23/D23)-1</f>
        <v>2.4999999999999911E-2</v>
      </c>
      <c r="F24" s="119">
        <f>(F23/E23)-1</f>
        <v>2.4999999999999911E-2</v>
      </c>
      <c r="G24" s="119">
        <f>(G23/F23)-1</f>
        <v>2.4999999999999911E-2</v>
      </c>
      <c r="H24" s="119">
        <f>(H23/G23)-1</f>
        <v>2.4999999999999911E-2</v>
      </c>
      <c r="J24" s="44"/>
      <c r="L24" s="44"/>
      <c r="N24" s="54"/>
      <c r="O24" s="54"/>
      <c r="P24" s="54"/>
      <c r="Q24" s="54"/>
    </row>
    <row r="25" spans="1:17">
      <c r="A25" s="96" t="s">
        <v>66</v>
      </c>
      <c r="B25" s="120"/>
      <c r="C25" s="121"/>
      <c r="D25" s="44"/>
      <c r="E25" s="44"/>
      <c r="F25" s="122"/>
      <c r="G25" s="122"/>
      <c r="H25" s="122"/>
      <c r="J25" s="68"/>
      <c r="L25" s="71"/>
      <c r="N25" s="54"/>
      <c r="O25" s="54"/>
      <c r="P25" s="54"/>
      <c r="Q25" s="54"/>
    </row>
    <row r="26" spans="1:17">
      <c r="A26" s="92" t="s">
        <v>97</v>
      </c>
      <c r="B26" s="123">
        <v>0.1</v>
      </c>
      <c r="C26" s="44">
        <f t="shared" ref="C26:H26" si="7">C23*$B$26</f>
        <v>1140</v>
      </c>
      <c r="D26" s="44">
        <f t="shared" si="7"/>
        <v>1168.4999999999998</v>
      </c>
      <c r="E26" s="44">
        <f t="shared" si="7"/>
        <v>1197.7124999999996</v>
      </c>
      <c r="F26" s="44">
        <f t="shared" si="7"/>
        <v>1227.6553124999996</v>
      </c>
      <c r="G26" s="44">
        <f t="shared" si="7"/>
        <v>1258.3466953124994</v>
      </c>
      <c r="H26" s="44">
        <f t="shared" si="7"/>
        <v>1289.8053626953117</v>
      </c>
      <c r="J26" s="70"/>
      <c r="L26" s="70"/>
      <c r="N26" s="54"/>
      <c r="O26" s="54"/>
      <c r="P26" s="54"/>
      <c r="Q26" s="54"/>
    </row>
    <row r="27" spans="1:17" s="51" customFormat="1">
      <c r="A27" s="92" t="s">
        <v>98</v>
      </c>
      <c r="B27" s="68"/>
      <c r="C27" s="44">
        <f>(C18/12)*C11</f>
        <v>0</v>
      </c>
      <c r="D27" s="44">
        <f>(D18/12)*D11</f>
        <v>640.62500000000045</v>
      </c>
      <c r="E27" s="44">
        <f t="shared" ref="E27:H27" si="8">(E18/12)*E11</f>
        <v>656.64062500000045</v>
      </c>
      <c r="F27" s="44">
        <f t="shared" si="8"/>
        <v>673.05664062500034</v>
      </c>
      <c r="G27" s="44">
        <f t="shared" si="8"/>
        <v>689.88305664062523</v>
      </c>
      <c r="H27" s="44">
        <f t="shared" si="8"/>
        <v>707.13013305664083</v>
      </c>
      <c r="J27" s="70"/>
      <c r="L27" s="70"/>
      <c r="N27" s="54"/>
      <c r="O27" s="54"/>
      <c r="P27" s="54"/>
      <c r="Q27" s="54"/>
    </row>
    <row r="28" spans="1:17" s="51" customFormat="1">
      <c r="A28" s="92" t="s">
        <v>99</v>
      </c>
      <c r="B28" s="68"/>
      <c r="C28" s="44">
        <v>0</v>
      </c>
      <c r="D28" s="44">
        <f t="shared" ref="D28" si="9">C28*(1+$D$10)</f>
        <v>0</v>
      </c>
      <c r="E28" s="44">
        <f t="shared" ref="E28:E29" si="10">D28*(1+$E$10)</f>
        <v>0</v>
      </c>
      <c r="F28" s="44">
        <f t="shared" ref="F28:F29" si="11">E28*(1+$F$10)</f>
        <v>0</v>
      </c>
      <c r="G28" s="44">
        <f t="shared" ref="G28:G29" si="12">F28*(1+$G$10)</f>
        <v>0</v>
      </c>
      <c r="H28" s="44">
        <f t="shared" ref="H28:H29" si="13">G28*(1+$H$10)</f>
        <v>0</v>
      </c>
      <c r="J28" s="70"/>
      <c r="L28" s="70"/>
      <c r="N28" s="54"/>
      <c r="O28" s="54"/>
      <c r="P28" s="54"/>
      <c r="Q28" s="54"/>
    </row>
    <row r="29" spans="1:17" s="51" customFormat="1">
      <c r="A29" s="92" t="s">
        <v>100</v>
      </c>
      <c r="B29" s="93"/>
      <c r="C29" s="44">
        <f>'www.NadlanUSA.co.il'!E27*'www.NadlanUSA.co.il'!L62</f>
        <v>360</v>
      </c>
      <c r="D29" s="44">
        <f>C29*(1+$D$10)</f>
        <v>368.99999999999994</v>
      </c>
      <c r="E29" s="44">
        <f t="shared" si="10"/>
        <v>378.22499999999991</v>
      </c>
      <c r="F29" s="44">
        <f t="shared" si="11"/>
        <v>387.68062499999985</v>
      </c>
      <c r="G29" s="44">
        <f t="shared" si="12"/>
        <v>397.3726406249998</v>
      </c>
      <c r="H29" s="44">
        <f t="shared" si="13"/>
        <v>407.30695664062478</v>
      </c>
      <c r="J29" s="70"/>
      <c r="L29" s="70"/>
      <c r="N29" s="54"/>
      <c r="O29" s="54"/>
      <c r="P29" s="54"/>
      <c r="Q29" s="54"/>
    </row>
    <row r="30" spans="1:17" s="51" customFormat="1">
      <c r="A30" s="92" t="s">
        <v>101</v>
      </c>
      <c r="B30" s="93"/>
      <c r="C30" s="44">
        <f>-'www.NadlanUSA.co.il'!E31</f>
        <v>2000</v>
      </c>
      <c r="D30" s="44">
        <f>C30</f>
        <v>2000</v>
      </c>
      <c r="E30" s="44">
        <f>D30</f>
        <v>2000</v>
      </c>
      <c r="F30" s="44">
        <f>E30</f>
        <v>2000</v>
      </c>
      <c r="G30" s="44">
        <f t="shared" ref="G30:H30" si="14">F30</f>
        <v>2000</v>
      </c>
      <c r="H30" s="44">
        <f t="shared" si="14"/>
        <v>2000</v>
      </c>
      <c r="J30" s="70"/>
      <c r="L30" s="70"/>
      <c r="N30" s="54"/>
      <c r="O30" s="54"/>
      <c r="P30" s="54"/>
      <c r="Q30" s="54"/>
    </row>
    <row r="31" spans="1:17" s="51" customFormat="1">
      <c r="A31" s="92" t="s">
        <v>102</v>
      </c>
      <c r="B31" s="94"/>
      <c r="C31" s="44">
        <f>-'www.NadlanUSA.co.il'!E32</f>
        <v>450</v>
      </c>
      <c r="D31" s="44">
        <f>(C31*(1+$D$10))</f>
        <v>461.24999999999994</v>
      </c>
      <c r="E31" s="44">
        <f>D31*(1+$E$10)</f>
        <v>472.78124999999989</v>
      </c>
      <c r="F31" s="44">
        <f>E31*(1+$F$10)</f>
        <v>484.60078124999984</v>
      </c>
      <c r="G31" s="44">
        <f>F31*(1+$G$10)</f>
        <v>496.71580078124981</v>
      </c>
      <c r="H31" s="44">
        <f>G31*(1+$H$10)</f>
        <v>509.13369580078103</v>
      </c>
      <c r="J31" s="70"/>
      <c r="L31" s="70"/>
      <c r="N31" s="54"/>
      <c r="O31" s="54"/>
      <c r="P31" s="54"/>
      <c r="Q31" s="54"/>
    </row>
    <row r="32" spans="1:17" s="51" customFormat="1">
      <c r="A32" s="92" t="s">
        <v>103</v>
      </c>
      <c r="B32" s="94"/>
      <c r="C32" s="95">
        <f>-'www.NadlanUSA.co.il'!E33</f>
        <v>200</v>
      </c>
      <c r="D32" s="95">
        <f>C32</f>
        <v>200</v>
      </c>
      <c r="E32" s="95">
        <f t="shared" ref="E32:H32" si="15">D32</f>
        <v>200</v>
      </c>
      <c r="F32" s="95">
        <f t="shared" si="15"/>
        <v>200</v>
      </c>
      <c r="G32" s="95">
        <f t="shared" si="15"/>
        <v>200</v>
      </c>
      <c r="H32" s="95">
        <f t="shared" si="15"/>
        <v>200</v>
      </c>
      <c r="J32" s="70"/>
      <c r="L32" s="70"/>
      <c r="N32" s="54"/>
      <c r="O32" s="54"/>
      <c r="P32" s="54"/>
      <c r="Q32" s="54"/>
    </row>
    <row r="33" spans="1:17" s="51" customFormat="1">
      <c r="A33" s="92"/>
      <c r="B33" s="94"/>
      <c r="C33" s="44"/>
      <c r="D33" s="44"/>
      <c r="E33" s="44"/>
      <c r="F33" s="44"/>
      <c r="G33" s="44"/>
      <c r="H33" s="44"/>
      <c r="J33" s="165">
        <f>J34/J21</f>
        <v>0.39901852473006527</v>
      </c>
      <c r="L33" s="70"/>
      <c r="N33" s="54"/>
      <c r="O33" s="54"/>
      <c r="P33" s="54"/>
      <c r="Q33" s="54"/>
    </row>
    <row r="34" spans="1:17" s="51" customFormat="1">
      <c r="A34" s="96" t="s">
        <v>67</v>
      </c>
      <c r="B34" s="68"/>
      <c r="C34" s="158">
        <f>SUM(C26:C32)</f>
        <v>4150</v>
      </c>
      <c r="D34" s="158">
        <f t="shared" ref="D34:H34" si="16">SUM(D26:D32)</f>
        <v>4839.375</v>
      </c>
      <c r="E34" s="158">
        <f t="shared" si="16"/>
        <v>4905.359375</v>
      </c>
      <c r="F34" s="158">
        <f t="shared" si="16"/>
        <v>4972.9933593750002</v>
      </c>
      <c r="G34" s="158">
        <f t="shared" si="16"/>
        <v>5042.3181933593742</v>
      </c>
      <c r="H34" s="158">
        <f t="shared" si="16"/>
        <v>5113.3761481933589</v>
      </c>
      <c r="J34" s="164">
        <f>SUM(C34:G34)</f>
        <v>23910.045927734373</v>
      </c>
      <c r="K34" s="164">
        <f>J34/5</f>
        <v>4782.0091855468745</v>
      </c>
      <c r="L34" s="70"/>
      <c r="N34" s="54"/>
      <c r="O34" s="54"/>
      <c r="P34" s="54"/>
      <c r="Q34" s="54"/>
    </row>
    <row r="35" spans="1:17" s="51" customFormat="1">
      <c r="A35" s="99" t="s">
        <v>68</v>
      </c>
      <c r="B35" s="159"/>
      <c r="C35" s="160">
        <f t="shared" ref="C35:H35" si="17">C23-C34</f>
        <v>7250</v>
      </c>
      <c r="D35" s="160">
        <f t="shared" si="17"/>
        <v>6845.6249999999982</v>
      </c>
      <c r="E35" s="160">
        <f t="shared" si="17"/>
        <v>7071.7656249999964</v>
      </c>
      <c r="F35" s="160">
        <f t="shared" si="17"/>
        <v>7303.5597656249947</v>
      </c>
      <c r="G35" s="160">
        <f t="shared" si="17"/>
        <v>7541.1487597656187</v>
      </c>
      <c r="H35" s="161">
        <f t="shared" si="17"/>
        <v>7784.6774787597578</v>
      </c>
      <c r="J35" s="164">
        <f>SUM(C35:G35)</f>
        <v>36012.099150390604</v>
      </c>
      <c r="K35" s="164">
        <f>J35/5</f>
        <v>7202.4198300781209</v>
      </c>
      <c r="L35" s="70"/>
      <c r="N35" s="54"/>
      <c r="O35" s="54"/>
      <c r="P35" s="54"/>
      <c r="Q35" s="54"/>
    </row>
    <row r="36" spans="1:17" s="51" customFormat="1">
      <c r="A36" s="92" t="s">
        <v>69</v>
      </c>
      <c r="B36" s="68"/>
      <c r="C36" s="44">
        <v>0</v>
      </c>
      <c r="D36" s="44">
        <f>C36</f>
        <v>0</v>
      </c>
      <c r="E36" s="44">
        <f>D36</f>
        <v>0</v>
      </c>
      <c r="F36" s="44">
        <f>E36</f>
        <v>0</v>
      </c>
      <c r="G36" s="44">
        <f>F36</f>
        <v>0</v>
      </c>
      <c r="H36" s="44"/>
      <c r="J36" s="44"/>
      <c r="K36" s="44"/>
      <c r="L36" s="70"/>
      <c r="N36" s="54"/>
      <c r="O36" s="54"/>
      <c r="P36" s="54"/>
      <c r="Q36" s="54"/>
    </row>
    <row r="37" spans="1:17" s="51" customFormat="1">
      <c r="A37" s="96" t="s">
        <v>70</v>
      </c>
      <c r="B37" s="68"/>
      <c r="C37" s="95">
        <f>C35-C36</f>
        <v>7250</v>
      </c>
      <c r="D37" s="95">
        <f>D35-D36</f>
        <v>6845.6249999999982</v>
      </c>
      <c r="E37" s="95">
        <f>E35-E36</f>
        <v>7071.7656249999964</v>
      </c>
      <c r="F37" s="95">
        <f>F35-F36</f>
        <v>7303.5597656249947</v>
      </c>
      <c r="G37" s="95">
        <f>G35-G36</f>
        <v>7541.1487597656187</v>
      </c>
      <c r="H37" s="44"/>
      <c r="J37" s="44"/>
      <c r="K37" s="44"/>
      <c r="L37" s="70"/>
      <c r="N37" s="54"/>
      <c r="O37" s="54"/>
      <c r="P37" s="54"/>
      <c r="Q37" s="54"/>
    </row>
    <row r="38" spans="1:17" s="51" customFormat="1">
      <c r="A38" s="92" t="s">
        <v>71</v>
      </c>
      <c r="B38" s="68"/>
      <c r="C38" s="44">
        <f>'Auto Calc - Loan Acq'!L14</f>
        <v>2569.3543285492374</v>
      </c>
      <c r="D38" s="44">
        <f>'Auto Calc - Loan Acq'!L26</f>
        <v>2569.3543285492374</v>
      </c>
      <c r="E38" s="44">
        <f>'Auto Calc - Loan Acq'!L38</f>
        <v>2569.3543285492374</v>
      </c>
      <c r="F38" s="44">
        <f>'Auto Calc - Loan Acq'!L50</f>
        <v>2569.3543285492374</v>
      </c>
      <c r="G38" s="44">
        <f>'Auto Calc - Loan Acq'!L62</f>
        <v>2569.3543285492374</v>
      </c>
      <c r="H38" s="44"/>
      <c r="J38" s="70"/>
      <c r="L38" s="70"/>
      <c r="N38" s="54"/>
      <c r="O38" s="54"/>
      <c r="P38" s="54"/>
      <c r="Q38" s="54"/>
    </row>
    <row r="39" spans="1:17" s="51" customFormat="1">
      <c r="A39" s="96" t="s">
        <v>72</v>
      </c>
      <c r="B39" s="68"/>
      <c r="C39" s="44">
        <f>C37-C38</f>
        <v>4680.6456714507622</v>
      </c>
      <c r="D39" s="44">
        <f>D37-D38</f>
        <v>4276.2706714507603</v>
      </c>
      <c r="E39" s="44">
        <f>E37-E38</f>
        <v>4502.4112964507585</v>
      </c>
      <c r="F39" s="44">
        <f>F37-F38</f>
        <v>4734.2054370757578</v>
      </c>
      <c r="G39" s="44">
        <f>G37-G38</f>
        <v>4971.7944312163818</v>
      </c>
      <c r="H39" s="44"/>
      <c r="J39" s="70"/>
      <c r="L39" s="70"/>
      <c r="N39" s="54"/>
      <c r="O39" s="54"/>
      <c r="P39" s="54"/>
      <c r="Q39" s="54"/>
    </row>
    <row r="40" spans="1:17" s="51" customFormat="1">
      <c r="A40" s="96" t="s">
        <v>73</v>
      </c>
      <c r="B40" s="97"/>
      <c r="C40" s="98">
        <f>C37/C38</f>
        <v>2.8217205853789915</v>
      </c>
      <c r="D40" s="98">
        <f>D37/D38</f>
        <v>2.6643366872117316</v>
      </c>
      <c r="E40" s="98">
        <f>E37/E38</f>
        <v>2.7523512605569684</v>
      </c>
      <c r="F40" s="98">
        <f>F37/F38</f>
        <v>2.8425661982358359</v>
      </c>
      <c r="G40" s="98">
        <f>G37/G38</f>
        <v>2.9350365093566757</v>
      </c>
      <c r="H40" s="98"/>
      <c r="J40" s="70"/>
      <c r="K40" s="174">
        <f>AVERAGE(C40:G40)</f>
        <v>2.8032022481480405</v>
      </c>
      <c r="L40" s="70"/>
      <c r="N40" s="54"/>
      <c r="O40" s="54"/>
      <c r="P40" s="54"/>
      <c r="Q40" s="54"/>
    </row>
    <row r="41" spans="1:17" s="51" customFormat="1">
      <c r="A41" s="96"/>
      <c r="B41" s="97"/>
      <c r="C41" s="98"/>
      <c r="D41" s="98"/>
      <c r="E41" s="98"/>
      <c r="F41" s="98"/>
      <c r="G41" s="98"/>
      <c r="H41" s="98"/>
      <c r="J41" s="70"/>
      <c r="L41" s="70"/>
      <c r="N41" s="54"/>
      <c r="O41" s="54"/>
      <c r="P41" s="54"/>
      <c r="Q41" s="54"/>
    </row>
    <row r="42" spans="1:17" s="51" customFormat="1">
      <c r="A42" s="99" t="s">
        <v>74</v>
      </c>
      <c r="B42" s="100"/>
      <c r="C42" s="101">
        <f>C35/$E$5</f>
        <v>9.2948717948717952E-2</v>
      </c>
      <c r="D42" s="101">
        <f>D35/$E$5</f>
        <v>8.7764423076923059E-2</v>
      </c>
      <c r="E42" s="101">
        <f>E35/$E$5</f>
        <v>9.0663661858974315E-2</v>
      </c>
      <c r="F42" s="101">
        <f>F35/$E$5</f>
        <v>9.3635381610576857E-2</v>
      </c>
      <c r="G42" s="102">
        <f>G35/$E$5</f>
        <v>9.6681394355969466E-2</v>
      </c>
      <c r="H42" s="98"/>
      <c r="J42" s="70"/>
      <c r="L42" s="70"/>
      <c r="N42" s="54"/>
      <c r="O42" s="54"/>
      <c r="P42" s="54"/>
      <c r="Q42" s="54"/>
    </row>
    <row r="43" spans="1:17" s="51" customFormat="1">
      <c r="A43" s="54"/>
      <c r="B43" s="97"/>
      <c r="C43" s="9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54"/>
      <c r="O43" s="54"/>
      <c r="P43" s="54"/>
      <c r="Q43" s="54"/>
    </row>
    <row r="44" spans="1:17" hidden="1" outlineLevel="1">
      <c r="A44" s="37" t="s">
        <v>75</v>
      </c>
      <c r="B44" s="37"/>
      <c r="C44" s="37"/>
      <c r="D44" s="45" t="e">
        <f>IF(#REF!&lt;='[1]Input - General'!$C$91,#REF!,0)</f>
        <v>#REF!</v>
      </c>
      <c r="E44" s="45" t="e">
        <f>D46</f>
        <v>#REF!</v>
      </c>
      <c r="F44" s="45" t="e">
        <f t="shared" ref="F44:M44" si="18">E46</f>
        <v>#REF!</v>
      </c>
      <c r="G44" s="45" t="e">
        <f t="shared" si="18"/>
        <v>#REF!</v>
      </c>
      <c r="H44" s="45" t="e">
        <f t="shared" si="18"/>
        <v>#REF!</v>
      </c>
      <c r="I44" s="72" t="e">
        <f t="shared" si="18"/>
        <v>#REF!</v>
      </c>
      <c r="J44" s="72" t="e">
        <f t="shared" si="18"/>
        <v>#REF!</v>
      </c>
      <c r="K44" s="72" t="e">
        <f t="shared" si="18"/>
        <v>#REF!</v>
      </c>
      <c r="L44" s="72" t="e">
        <f t="shared" si="18"/>
        <v>#REF!</v>
      </c>
      <c r="M44" s="72" t="e">
        <f t="shared" si="18"/>
        <v>#REF!</v>
      </c>
      <c r="N44" s="54"/>
      <c r="O44" s="54"/>
      <c r="P44" s="54"/>
      <c r="Q44" s="54"/>
    </row>
    <row r="45" spans="1:17" hidden="1" outlineLevel="1">
      <c r="A45" s="37" t="s">
        <v>76</v>
      </c>
      <c r="B45" s="37"/>
      <c r="C45" s="37"/>
      <c r="D45" s="45" t="e">
        <f>IF(#REF!='[1]Input - General'!#REF!,'[1]Input - General'!#REF!,0)</f>
        <v>#REF!</v>
      </c>
      <c r="E45" s="45" t="e">
        <f>IF(#REF!='[1]Input - General'!#REF!,'[1]Input - General'!#REF!,0)</f>
        <v>#REF!</v>
      </c>
      <c r="F45" s="45" t="e">
        <f>IF(#REF!='[1]Input - General'!#REF!,'[1]Input - General'!#REF!,0)</f>
        <v>#REF!</v>
      </c>
      <c r="G45" s="45" t="e">
        <f>IF(#REF!='[1]Input - General'!#REF!,'[1]Input - General'!#REF!,0)</f>
        <v>#REF!</v>
      </c>
      <c r="H45" s="45" t="e">
        <f>IF(#REF!='[1]Input - General'!#REF!,'[1]Input - General'!#REF!,0)</f>
        <v>#REF!</v>
      </c>
      <c r="I45" s="72" t="e">
        <f>IF(#REF!='[1]Input - General'!#REF!,'[1]Input - General'!#REF!,0)</f>
        <v>#REF!</v>
      </c>
      <c r="J45" s="72" t="e">
        <f>IF(#REF!='[1]Input - General'!#REF!,'[1]Input - General'!#REF!,0)</f>
        <v>#REF!</v>
      </c>
      <c r="K45" s="72" t="e">
        <f>IF(#REF!='[1]Input - General'!#REF!,'[1]Input - General'!#REF!,0)</f>
        <v>#REF!</v>
      </c>
      <c r="L45" s="72" t="e">
        <f>IF(#REF!='[1]Input - General'!#REF!,'[1]Input - General'!#REF!,0)</f>
        <v>#REF!</v>
      </c>
      <c r="M45" s="72" t="e">
        <f>IF(#REF!='[1]Input - General'!#REF!,'[1]Input - General'!#REF!,0)</f>
        <v>#REF!</v>
      </c>
      <c r="N45" s="54"/>
      <c r="O45" s="54"/>
      <c r="P45" s="54"/>
      <c r="Q45" s="54"/>
    </row>
    <row r="46" spans="1:17" hidden="1" outlineLevel="1">
      <c r="A46" s="37" t="s">
        <v>77</v>
      </c>
      <c r="B46" s="37"/>
      <c r="C46" s="37"/>
      <c r="D46" s="46" t="e">
        <f>D44+D45</f>
        <v>#REF!</v>
      </c>
      <c r="E46" s="46" t="e">
        <f t="shared" ref="E46:M46" si="19">E44+E45</f>
        <v>#REF!</v>
      </c>
      <c r="F46" s="46" t="e">
        <f t="shared" si="19"/>
        <v>#REF!</v>
      </c>
      <c r="G46" s="46" t="e">
        <f t="shared" si="19"/>
        <v>#REF!</v>
      </c>
      <c r="H46" s="46" t="e">
        <f t="shared" si="19"/>
        <v>#REF!</v>
      </c>
      <c r="I46" s="73" t="e">
        <f t="shared" si="19"/>
        <v>#REF!</v>
      </c>
      <c r="J46" s="73" t="e">
        <f t="shared" si="19"/>
        <v>#REF!</v>
      </c>
      <c r="K46" s="73" t="e">
        <f t="shared" si="19"/>
        <v>#REF!</v>
      </c>
      <c r="L46" s="73" t="e">
        <f t="shared" si="19"/>
        <v>#REF!</v>
      </c>
      <c r="M46" s="73" t="e">
        <f t="shared" si="19"/>
        <v>#REF!</v>
      </c>
      <c r="N46" s="54"/>
      <c r="O46" s="54"/>
      <c r="P46" s="54"/>
      <c r="Q46" s="54"/>
    </row>
    <row r="47" spans="1:17" collapsed="1">
      <c r="A47" s="47" t="s">
        <v>78</v>
      </c>
      <c r="B47" s="48"/>
      <c r="C47" s="48"/>
      <c r="D47" s="48"/>
      <c r="E47" s="49"/>
      <c r="F47" s="49"/>
      <c r="G47" s="49"/>
      <c r="H47" s="49"/>
      <c r="I47" s="54"/>
      <c r="J47" s="68"/>
      <c r="K47" s="54"/>
      <c r="L47" s="54"/>
      <c r="M47" s="54"/>
      <c r="N47" s="54"/>
      <c r="O47" s="54"/>
      <c r="P47" s="54"/>
      <c r="Q47" s="54"/>
    </row>
    <row r="48" spans="1:17" s="51" customFormat="1">
      <c r="C48" s="68"/>
      <c r="D48" s="6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s="51" customFormat="1">
      <c r="A49" s="103" t="s">
        <v>24</v>
      </c>
      <c r="B49" s="104"/>
      <c r="C49" s="105">
        <v>0</v>
      </c>
      <c r="D49" s="105">
        <v>1</v>
      </c>
      <c r="E49" s="105">
        <v>2</v>
      </c>
      <c r="F49" s="105">
        <v>3</v>
      </c>
      <c r="G49" s="105">
        <v>4</v>
      </c>
      <c r="H49" s="105">
        <v>5</v>
      </c>
      <c r="J49" s="54"/>
      <c r="K49" s="54"/>
      <c r="L49" s="54"/>
      <c r="M49" s="54"/>
      <c r="N49" s="54"/>
      <c r="O49" s="54"/>
      <c r="P49" s="54"/>
      <c r="Q49" s="54"/>
    </row>
    <row r="50" spans="1:17" s="51" customFormat="1">
      <c r="A50" s="96" t="s">
        <v>79</v>
      </c>
      <c r="B50" s="106"/>
      <c r="C50" s="107">
        <f>-'www.NadlanUSA.co.il'!L11</f>
        <v>-24494.25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J50" s="54"/>
      <c r="K50" s="54"/>
      <c r="L50" s="54"/>
      <c r="M50" s="54"/>
      <c r="N50" s="54"/>
      <c r="O50" s="54"/>
      <c r="P50" s="54"/>
      <c r="Q50" s="54"/>
    </row>
    <row r="51" spans="1:17" s="51" customFormat="1">
      <c r="A51" s="96" t="s">
        <v>80</v>
      </c>
      <c r="B51" s="106"/>
      <c r="C51" s="108"/>
      <c r="D51" s="107">
        <f>C39</f>
        <v>4680.6456714507622</v>
      </c>
      <c r="E51" s="107">
        <f>D39</f>
        <v>4276.2706714507603</v>
      </c>
      <c r="F51" s="107">
        <f>E39</f>
        <v>4502.4112964507585</v>
      </c>
      <c r="G51" s="107">
        <f>F39</f>
        <v>4734.2054370757578</v>
      </c>
      <c r="H51" s="107">
        <f>G39+A73</f>
        <v>43078.37634957477</v>
      </c>
    </row>
    <row r="52" spans="1:17" s="51" customFormat="1">
      <c r="A52" s="96" t="s">
        <v>81</v>
      </c>
      <c r="B52" s="54"/>
      <c r="C52" s="107">
        <f>SUM(C50:C51)</f>
        <v>-24494.25</v>
      </c>
      <c r="D52" s="107">
        <f>D50+D51</f>
        <v>4680.6456714507622</v>
      </c>
      <c r="E52" s="107">
        <f>E50+E51</f>
        <v>4276.2706714507603</v>
      </c>
      <c r="F52" s="107">
        <f>F50+F51</f>
        <v>4502.4112964507585</v>
      </c>
      <c r="G52" s="107">
        <f>G50+G51</f>
        <v>4734.2054370757578</v>
      </c>
      <c r="H52" s="107">
        <f>H50+H51</f>
        <v>43078.37634957477</v>
      </c>
    </row>
    <row r="53" spans="1:17" s="51" customFormat="1">
      <c r="A53" s="109" t="s">
        <v>82</v>
      </c>
      <c r="B53" s="110"/>
      <c r="C53" s="107">
        <f>C50</f>
        <v>-24494.25</v>
      </c>
      <c r="D53" s="107">
        <f>C53+D50</f>
        <v>-24494.25</v>
      </c>
      <c r="E53" s="107">
        <f>D53+E50</f>
        <v>-24494.25</v>
      </c>
      <c r="F53" s="107">
        <f>E53+F50</f>
        <v>-24494.25</v>
      </c>
      <c r="G53" s="107">
        <f>F53+G50</f>
        <v>-24494.25</v>
      </c>
      <c r="H53" s="107">
        <f>G53+H50</f>
        <v>-24494.25</v>
      </c>
    </row>
    <row r="54" spans="1:17">
      <c r="A54" s="109" t="s">
        <v>83</v>
      </c>
      <c r="B54" s="110"/>
      <c r="C54" s="111"/>
      <c r="D54" s="50">
        <f>D51/-D53</f>
        <v>0.19109161013098022</v>
      </c>
      <c r="E54" s="50">
        <f>E51/-E53</f>
        <v>0.17458263353443199</v>
      </c>
      <c r="F54" s="50">
        <f>F51/-F53</f>
        <v>0.18381502991317386</v>
      </c>
      <c r="G54" s="50">
        <f>G51/-G53</f>
        <v>0.19327823620138432</v>
      </c>
      <c r="H54" s="50">
        <f>(H51)/-H53</f>
        <v>1.7587138348622542</v>
      </c>
    </row>
    <row r="55" spans="1:17" s="51" customFormat="1">
      <c r="A55" s="109"/>
      <c r="B55" s="110"/>
      <c r="C55" s="111"/>
      <c r="D55" s="112"/>
      <c r="E55" s="112"/>
      <c r="F55" s="112"/>
      <c r="G55" s="112"/>
      <c r="H55" s="112"/>
      <c r="I55" s="74"/>
    </row>
    <row r="56" spans="1:17" s="51" customFormat="1">
      <c r="A56" s="109" t="s">
        <v>84</v>
      </c>
      <c r="B56" s="110"/>
      <c r="C56" s="111"/>
      <c r="D56" s="107">
        <f>'Auto Calc - Loan Acq'!K14</f>
        <v>1322.6144319185159</v>
      </c>
      <c r="E56" s="107">
        <f>'Auto Calc - Loan Acq'!K26</f>
        <v>1352.6820706819365</v>
      </c>
      <c r="F56" s="107">
        <f>'Auto Calc - Loan Acq'!K38</f>
        <v>1383.4332517377973</v>
      </c>
      <c r="G56" s="107">
        <f>'Auto Calc - Loan Acq'!K50</f>
        <v>1414.8835143863146</v>
      </c>
      <c r="H56" s="107">
        <f>'Auto Calc - Loan Acq'!K62</f>
        <v>1447.0487511901938</v>
      </c>
      <c r="I56" s="75"/>
      <c r="J56" s="75"/>
      <c r="K56" s="75"/>
      <c r="L56" s="75"/>
      <c r="M56" s="75"/>
    </row>
    <row r="57" spans="1:17">
      <c r="A57" s="109" t="s">
        <v>85</v>
      </c>
      <c r="B57" s="110"/>
      <c r="C57" s="111"/>
      <c r="D57" s="50">
        <f>-(D51+D56)/D53</f>
        <v>0.24508854540838271</v>
      </c>
      <c r="E57" s="50">
        <f>-(E51+E56)/E53</f>
        <v>0.2298071074694141</v>
      </c>
      <c r="F57" s="50">
        <f>-(F51+F56)/F53</f>
        <v>0.24029494874056384</v>
      </c>
      <c r="G57" s="50">
        <f>-(G51+G56)/G53</f>
        <v>0.25104214056205321</v>
      </c>
      <c r="H57" s="50">
        <f>-(G39+H56)/H53</f>
        <v>0.26205510200992377</v>
      </c>
    </row>
    <row r="58" spans="1:17" s="51" customFormat="1" ht="14" thickBot="1">
      <c r="A58" s="76"/>
      <c r="B58" s="76"/>
      <c r="D58" s="77"/>
      <c r="I58" s="65"/>
      <c r="J58" s="65"/>
      <c r="K58" s="65"/>
      <c r="L58" s="65"/>
      <c r="M58" s="65"/>
    </row>
    <row r="59" spans="1:17" s="51" customFormat="1">
      <c r="A59" s="78" t="s">
        <v>86</v>
      </c>
      <c r="B59" s="79">
        <f>IRR(C52:H52)</f>
        <v>0.25464277790182899</v>
      </c>
      <c r="D59" s="78" t="s">
        <v>87</v>
      </c>
      <c r="E59" s="80">
        <f>F59/F62</f>
        <v>0.62987498033292189</v>
      </c>
      <c r="F59" s="81">
        <f>SUM(C39:G39)</f>
        <v>23165.327507644419</v>
      </c>
    </row>
    <row r="60" spans="1:17" s="51" customFormat="1">
      <c r="A60" s="82" t="s">
        <v>88</v>
      </c>
      <c r="B60" s="83">
        <f>-H53</f>
        <v>24494.25</v>
      </c>
      <c r="D60" s="82" t="s">
        <v>89</v>
      </c>
      <c r="E60" s="84">
        <f>F60/F62</f>
        <v>0.18194931387374905</v>
      </c>
      <c r="F60" s="83">
        <f>A73-F61-B60</f>
        <v>6691.6698984436298</v>
      </c>
      <c r="I60" s="65"/>
      <c r="J60" s="65"/>
      <c r="K60" s="65"/>
      <c r="L60" s="65"/>
      <c r="M60" s="65"/>
    </row>
    <row r="61" spans="1:17" s="51" customFormat="1">
      <c r="A61" s="82" t="s">
        <v>90</v>
      </c>
      <c r="B61" s="83">
        <f>SUM(D51:H51)</f>
        <v>61271.909426002807</v>
      </c>
      <c r="D61" s="82" t="s">
        <v>91</v>
      </c>
      <c r="E61" s="84">
        <f>F61/F62</f>
        <v>0.18817570579332901</v>
      </c>
      <c r="F61" s="83">
        <f>SUM(D56:H56)</f>
        <v>6920.6620199147574</v>
      </c>
    </row>
    <row r="62" spans="1:17" s="51" customFormat="1" ht="14" thickBot="1">
      <c r="A62" s="85" t="s">
        <v>92</v>
      </c>
      <c r="B62" s="86">
        <f>B61/B60</f>
        <v>2.5014813446422246</v>
      </c>
      <c r="D62" s="85" t="s">
        <v>93</v>
      </c>
      <c r="E62" s="87">
        <f>SUM(E59:E61)</f>
        <v>0.99999999999999989</v>
      </c>
      <c r="F62" s="88">
        <f>SUM(F59:F61)</f>
        <v>36777.659426002807</v>
      </c>
    </row>
    <row r="63" spans="1:17" s="51" customFormat="1">
      <c r="A63" s="89" t="s">
        <v>94</v>
      </c>
      <c r="B63" s="75">
        <f>(B61-B60)</f>
        <v>36777.659426002807</v>
      </c>
    </row>
    <row r="64" spans="1:17" s="51" customFormat="1">
      <c r="A64" s="89" t="s">
        <v>95</v>
      </c>
      <c r="B64" s="90">
        <f>(B63/B60)</f>
        <v>1.5014813446422244</v>
      </c>
    </row>
    <row r="65" spans="1:8" s="51" customFormat="1">
      <c r="A65" s="89" t="s">
        <v>96</v>
      </c>
      <c r="B65" s="91">
        <f>(B64/5)</f>
        <v>0.30029626892844485</v>
      </c>
    </row>
    <row r="66" spans="1:8" s="51" customFormat="1"/>
    <row r="67" spans="1:8" s="51" customFormat="1"/>
    <row r="68" spans="1:8" s="51" customFormat="1"/>
    <row r="69" spans="1:8" s="51" customFormat="1">
      <c r="B69" s="180" t="s">
        <v>139</v>
      </c>
      <c r="C69" s="130">
        <v>0</v>
      </c>
      <c r="D69" s="130">
        <v>2021</v>
      </c>
      <c r="E69" s="130">
        <v>2022</v>
      </c>
      <c r="F69" s="130">
        <v>2023</v>
      </c>
      <c r="G69" s="130">
        <v>2024</v>
      </c>
      <c r="H69" s="130">
        <v>2025</v>
      </c>
    </row>
    <row r="70" spans="1:8" s="51" customFormat="1">
      <c r="A70" s="143">
        <f>F6</f>
        <v>93763.784837036161</v>
      </c>
      <c r="B70" s="180" t="s">
        <v>146</v>
      </c>
      <c r="C70" s="75">
        <f>E5</f>
        <v>78000</v>
      </c>
      <c r="D70" s="143">
        <f>C70*(1+'www.NadlanUSA.co.il'!$F$62)</f>
        <v>80925</v>
      </c>
      <c r="E70" s="143">
        <f>D70*(1+'www.NadlanUSA.co.il'!$F$62)</f>
        <v>83959.6875</v>
      </c>
      <c r="F70" s="143">
        <f>E70*(1+'www.NadlanUSA.co.il'!$F$62)</f>
        <v>87108.175781250015</v>
      </c>
      <c r="G70" s="143">
        <f>F70*(1+'www.NadlanUSA.co.il'!$F$62)</f>
        <v>90374.732373046892</v>
      </c>
      <c r="H70" s="143">
        <f>G70*(1+'www.NadlanUSA.co.il'!$F$62)</f>
        <v>93763.784837036161</v>
      </c>
    </row>
    <row r="71" spans="1:8" s="51" customFormat="1">
      <c r="A71" s="143">
        <f>A70*93%</f>
        <v>87200.319898443631</v>
      </c>
      <c r="B71" s="180" t="s">
        <v>147</v>
      </c>
      <c r="C71" s="75">
        <f>-C50</f>
        <v>24494.25</v>
      </c>
      <c r="D71" s="75">
        <f>C71+D74+(D70-C70)</f>
        <v>28741.864431918515</v>
      </c>
      <c r="E71" s="75">
        <f>D71+E74+(E70-D70)</f>
        <v>33129.234002600453</v>
      </c>
      <c r="F71" s="75">
        <f>E71+F74+(F70-E70)</f>
        <v>37661.155535588267</v>
      </c>
      <c r="G71" s="75">
        <f>F71+G74+(G70-F70)</f>
        <v>42342.595641771462</v>
      </c>
      <c r="H71" s="75">
        <f>G71+H74+(H70-G70)</f>
        <v>47178.696856950926</v>
      </c>
    </row>
    <row r="72" spans="1:8" s="51" customFormat="1">
      <c r="A72" s="75">
        <f>-'Auto Calc - Loan Acq'!H62</f>
        <v>-49093.737980085243</v>
      </c>
    </row>
    <row r="73" spans="1:8" s="51" customFormat="1">
      <c r="A73" s="143">
        <f>SUM(A71:A72)</f>
        <v>38106.581918358388</v>
      </c>
      <c r="B73" s="180" t="s">
        <v>140</v>
      </c>
      <c r="C73" s="144"/>
      <c r="D73" s="75">
        <f>C39</f>
        <v>4680.6456714507622</v>
      </c>
      <c r="E73" s="75">
        <f>D39</f>
        <v>4276.2706714507603</v>
      </c>
      <c r="F73" s="75">
        <f>E39</f>
        <v>4502.4112964507585</v>
      </c>
      <c r="G73" s="75">
        <f>F39</f>
        <v>4734.2054370757578</v>
      </c>
      <c r="H73" s="75">
        <f>G39</f>
        <v>4971.7944312163818</v>
      </c>
    </row>
    <row r="74" spans="1:8" s="51" customFormat="1">
      <c r="B74" s="180" t="s">
        <v>141</v>
      </c>
      <c r="C74" s="145"/>
      <c r="D74" s="175">
        <f>D56</f>
        <v>1322.6144319185159</v>
      </c>
      <c r="E74" s="175">
        <f>E56</f>
        <v>1352.6820706819365</v>
      </c>
      <c r="F74" s="175">
        <f>F56</f>
        <v>1383.4332517377973</v>
      </c>
      <c r="G74" s="175">
        <f>G56</f>
        <v>1414.8835143863146</v>
      </c>
      <c r="H74" s="175">
        <f>H56</f>
        <v>1447.0487511901938</v>
      </c>
    </row>
    <row r="75" spans="1:8" s="51" customFormat="1"/>
    <row r="76" spans="1:8" s="51" customFormat="1">
      <c r="D76" s="75">
        <f>D74</f>
        <v>1322.6144319185159</v>
      </c>
      <c r="E76" s="75">
        <f>D76+E74</f>
        <v>2675.2965026004522</v>
      </c>
      <c r="F76" s="75">
        <f t="shared" ref="F76:G76" si="20">E76+F74</f>
        <v>4058.7297543382492</v>
      </c>
      <c r="G76" s="75">
        <f t="shared" si="20"/>
        <v>5473.6132687245636</v>
      </c>
      <c r="H76" s="75">
        <f>G76+H74</f>
        <v>6920.6620199147574</v>
      </c>
    </row>
    <row r="77" spans="1:8" s="51" customFormat="1">
      <c r="D77" s="75">
        <f>D73</f>
        <v>4680.6456714507622</v>
      </c>
      <c r="E77" s="75">
        <f>D77+E73</f>
        <v>8956.9163429015225</v>
      </c>
      <c r="F77" s="75">
        <f t="shared" ref="F77:G77" si="21">E77+F73</f>
        <v>13459.327639352281</v>
      </c>
      <c r="G77" s="75">
        <f t="shared" si="21"/>
        <v>18193.533076428037</v>
      </c>
      <c r="H77" s="75">
        <f>G77+H73</f>
        <v>23165.327507644419</v>
      </c>
    </row>
    <row r="78" spans="1:8" s="51" customFormat="1"/>
    <row r="79" spans="1:8" s="51" customFormat="1"/>
    <row r="80" spans="1:8" s="51" customFormat="1">
      <c r="H80" s="176">
        <f>A73</f>
        <v>38106.581918358388</v>
      </c>
    </row>
    <row r="81" spans="3:9" s="51" customFormat="1"/>
    <row r="82" spans="3:9" s="51" customFormat="1">
      <c r="C82" s="176">
        <f>C50</f>
        <v>-24494.25</v>
      </c>
      <c r="D82" s="176">
        <f>D84+C82</f>
        <v>-18490.989896630723</v>
      </c>
      <c r="E82" s="176">
        <f>E84+D82</f>
        <v>-12862.037154498026</v>
      </c>
      <c r="F82" s="176">
        <f>F84+E82</f>
        <v>-6976.1926063094706</v>
      </c>
      <c r="G82" s="176">
        <f>G84+F82</f>
        <v>-827.1036548473985</v>
      </c>
      <c r="H82" s="176">
        <f>H84+G82</f>
        <v>5591.7395275591771</v>
      </c>
    </row>
    <row r="83" spans="3:9" s="51" customFormat="1" ht="14" thickBot="1"/>
    <row r="84" spans="3:9" s="51" customFormat="1" ht="14" thickBot="1">
      <c r="D84" s="177">
        <f>SUM(D73:D74)</f>
        <v>6003.2601033692781</v>
      </c>
      <c r="E84" s="178">
        <f>SUM(E73:E74)</f>
        <v>5628.9527421326966</v>
      </c>
      <c r="F84" s="178">
        <f>SUM(F73:F74)</f>
        <v>5885.8445481885556</v>
      </c>
      <c r="G84" s="178">
        <f>SUM(G73:G74)</f>
        <v>6149.0889514620721</v>
      </c>
      <c r="H84" s="179">
        <f>SUM(H73:H74)</f>
        <v>6418.8431824065756</v>
      </c>
    </row>
    <row r="85" spans="3:9" s="51" customFormat="1"/>
    <row r="88" spans="3:9">
      <c r="C88" s="36" t="s">
        <v>145</v>
      </c>
      <c r="D88" s="181">
        <f>D70-C70</f>
        <v>2925</v>
      </c>
      <c r="E88" s="181">
        <f>E70-D70</f>
        <v>3034.6875</v>
      </c>
      <c r="F88" s="181">
        <f t="shared" ref="F88:H88" si="22">F70-E70</f>
        <v>3148.4882812500146</v>
      </c>
      <c r="G88" s="181">
        <f t="shared" si="22"/>
        <v>3266.5565917968779</v>
      </c>
      <c r="H88" s="181">
        <f t="shared" si="22"/>
        <v>3389.0524639892683</v>
      </c>
    </row>
    <row r="89" spans="3:9">
      <c r="C89" s="36" t="s">
        <v>159</v>
      </c>
      <c r="D89" s="182">
        <f t="shared" ref="D89:G89" si="23">C39</f>
        <v>4680.6456714507622</v>
      </c>
      <c r="E89" s="182">
        <f t="shared" si="23"/>
        <v>4276.2706714507603</v>
      </c>
      <c r="F89" s="182">
        <f t="shared" si="23"/>
        <v>4502.4112964507585</v>
      </c>
      <c r="G89" s="182">
        <f t="shared" si="23"/>
        <v>4734.2054370757578</v>
      </c>
      <c r="H89" s="182">
        <f>G39</f>
        <v>4971.7944312163818</v>
      </c>
    </row>
    <row r="90" spans="3:9">
      <c r="C90" s="36" t="s">
        <v>160</v>
      </c>
      <c r="D90" s="182">
        <f t="shared" ref="D90:G90" si="24">D56</f>
        <v>1322.6144319185159</v>
      </c>
      <c r="E90" s="182">
        <f t="shared" si="24"/>
        <v>1352.6820706819365</v>
      </c>
      <c r="F90" s="182">
        <f t="shared" si="24"/>
        <v>1383.4332517377973</v>
      </c>
      <c r="G90" s="182">
        <f t="shared" si="24"/>
        <v>1414.8835143863146</v>
      </c>
      <c r="H90" s="182">
        <f>H56</f>
        <v>1447.0487511901938</v>
      </c>
    </row>
    <row r="93" spans="3:9">
      <c r="C93" s="36">
        <f>G71/F71</f>
        <v>1.1243042078663632</v>
      </c>
    </row>
    <row r="95" spans="3:9">
      <c r="D95" s="183">
        <f>D88</f>
        <v>2925</v>
      </c>
      <c r="E95" s="183">
        <f>E88+D95</f>
        <v>5959.6875</v>
      </c>
      <c r="F95" s="183">
        <f t="shared" ref="F95:G95" si="25">F88+E95</f>
        <v>9108.1757812500146</v>
      </c>
      <c r="G95" s="183">
        <f t="shared" si="25"/>
        <v>12374.732373046892</v>
      </c>
      <c r="H95" s="183">
        <f>H88+G95</f>
        <v>15763.784837036161</v>
      </c>
      <c r="I95" s="51" t="str">
        <f>C88</f>
        <v>עליית ערך</v>
      </c>
    </row>
    <row r="96" spans="3:9">
      <c r="D96" s="183">
        <f t="shared" ref="D96:D97" si="26">D89</f>
        <v>4680.6456714507622</v>
      </c>
      <c r="E96" s="183">
        <f>E89+D96</f>
        <v>8956.9163429015225</v>
      </c>
      <c r="F96" s="183">
        <f t="shared" ref="F96:H96" si="27">F89+E96</f>
        <v>13459.327639352281</v>
      </c>
      <c r="G96" s="183">
        <f t="shared" si="27"/>
        <v>18193.533076428037</v>
      </c>
      <c r="H96" s="183">
        <f t="shared" si="27"/>
        <v>23165.327507644419</v>
      </c>
      <c r="I96" s="51" t="str">
        <f>C89</f>
        <v>רווחי שכירות | תזרים</v>
      </c>
    </row>
    <row r="97" spans="3:9">
      <c r="D97" s="183">
        <f t="shared" si="26"/>
        <v>1322.6144319185159</v>
      </c>
      <c r="E97" s="183">
        <f t="shared" ref="E97:H97" si="28">E90+D97</f>
        <v>2675.2965026004522</v>
      </c>
      <c r="F97" s="183">
        <f t="shared" si="28"/>
        <v>4058.7297543382492</v>
      </c>
      <c r="G97" s="183">
        <f t="shared" si="28"/>
        <v>5473.6132687245636</v>
      </c>
      <c r="H97" s="183">
        <f t="shared" si="28"/>
        <v>6920.6620199147574</v>
      </c>
      <c r="I97" s="51" t="str">
        <f>C90</f>
        <v>רווחי שכירות | כיסוי קרן משכנתא</v>
      </c>
    </row>
    <row r="109" spans="3:9">
      <c r="C109" s="51"/>
      <c r="D109" s="51"/>
      <c r="E109" s="51"/>
      <c r="F109" s="51"/>
      <c r="G109" s="51"/>
      <c r="H109" s="51"/>
    </row>
    <row r="110" spans="3:9">
      <c r="C110" s="51"/>
      <c r="D110" s="51"/>
      <c r="E110" s="51"/>
      <c r="F110" s="51"/>
      <c r="G110" s="51"/>
      <c r="H110" s="51"/>
    </row>
    <row r="111" spans="3:9">
      <c r="C111" s="51"/>
      <c r="D111" s="51"/>
      <c r="E111" s="51"/>
      <c r="F111" s="51"/>
      <c r="G111" s="51"/>
      <c r="H111" s="51"/>
    </row>
    <row r="112" spans="3:9">
      <c r="C112" s="51"/>
      <c r="D112" s="51"/>
      <c r="E112" s="51"/>
      <c r="F112" s="51"/>
      <c r="G112" s="51"/>
      <c r="H112" s="51"/>
    </row>
    <row r="113" spans="3:8">
      <c r="C113" s="51"/>
      <c r="D113" s="51"/>
      <c r="E113" s="51"/>
      <c r="F113" s="51"/>
      <c r="G113" s="51"/>
      <c r="H113" s="51"/>
    </row>
    <row r="114" spans="3:8">
      <c r="C114" s="51"/>
      <c r="D114" s="51"/>
      <c r="E114" s="51"/>
      <c r="F114" s="51"/>
      <c r="G114" s="51"/>
      <c r="H114" s="51"/>
    </row>
    <row r="115" spans="3:8">
      <c r="C115" s="51"/>
      <c r="D115" s="51"/>
      <c r="E115" s="51"/>
      <c r="F115" s="51"/>
      <c r="G115" s="51"/>
      <c r="H115" s="51"/>
    </row>
    <row r="116" spans="3:8">
      <c r="C116" s="51"/>
      <c r="D116" s="51"/>
      <c r="E116" s="51"/>
      <c r="F116" s="51"/>
      <c r="G116" s="51"/>
      <c r="H116" s="51"/>
    </row>
    <row r="117" spans="3:8">
      <c r="C117" s="51"/>
      <c r="D117" s="51"/>
      <c r="E117" s="51"/>
      <c r="F117" s="51"/>
      <c r="G117" s="51"/>
      <c r="H117" s="51"/>
    </row>
    <row r="118" spans="3:8">
      <c r="C118" s="51"/>
      <c r="D118" s="51"/>
      <c r="E118" s="51"/>
      <c r="F118" s="51"/>
      <c r="G118" s="51"/>
      <c r="H118" s="51"/>
    </row>
    <row r="119" spans="3:8">
      <c r="C119" s="51"/>
      <c r="D119" s="51"/>
      <c r="E119" s="51"/>
      <c r="F119" s="51"/>
      <c r="G119" s="51"/>
      <c r="H119" s="51"/>
    </row>
    <row r="120" spans="3:8">
      <c r="C120" s="51"/>
      <c r="D120" s="51"/>
      <c r="E120" s="51"/>
      <c r="F120" s="51"/>
      <c r="G120" s="51"/>
      <c r="H120" s="51"/>
    </row>
    <row r="121" spans="3:8">
      <c r="C121" s="51"/>
      <c r="D121" s="51"/>
      <c r="E121" s="51"/>
      <c r="F121" s="51"/>
      <c r="G121" s="51"/>
      <c r="H121" s="51"/>
    </row>
    <row r="122" spans="3:8">
      <c r="C122" s="51"/>
      <c r="D122" s="51"/>
      <c r="E122" s="51"/>
      <c r="F122" s="51"/>
      <c r="G122" s="51"/>
      <c r="H122" s="51"/>
    </row>
    <row r="123" spans="3:8">
      <c r="C123" s="51"/>
      <c r="D123" s="51"/>
      <c r="E123" s="51"/>
      <c r="F123" s="51"/>
      <c r="G123" s="51"/>
      <c r="H123" s="51"/>
    </row>
    <row r="124" spans="3:8">
      <c r="C124" s="51"/>
      <c r="D124" s="51"/>
      <c r="E124" s="51"/>
      <c r="F124" s="51"/>
      <c r="G124" s="51"/>
      <c r="H124" s="51"/>
    </row>
    <row r="125" spans="3:8">
      <c r="C125" s="51"/>
      <c r="D125" s="51"/>
      <c r="E125" s="51"/>
      <c r="F125" s="51"/>
      <c r="G125" s="51"/>
      <c r="H125" s="51"/>
    </row>
    <row r="126" spans="3:8">
      <c r="C126" s="51"/>
      <c r="D126" s="51"/>
      <c r="E126" s="51"/>
      <c r="F126" s="51"/>
      <c r="G126" s="51"/>
      <c r="H126" s="51"/>
    </row>
  </sheetData>
  <mergeCells count="1">
    <mergeCell ref="K3:M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33C3-84C3-074A-91E2-5147F484E8C1}">
  <sheetPr codeName="Sheet2"/>
  <dimension ref="A1:P363"/>
  <sheetViews>
    <sheetView workbookViewId="0">
      <selection activeCell="M11" sqref="M11"/>
    </sheetView>
  </sheetViews>
  <sheetFormatPr baseColWidth="10" defaultColWidth="9.33203125" defaultRowHeight="13"/>
  <cols>
    <col min="1" max="1" width="11.5" style="4" customWidth="1"/>
    <col min="2" max="2" width="6.5" style="5" customWidth="1"/>
    <col min="3" max="3" width="7.6640625" style="5" customWidth="1"/>
    <col min="4" max="4" width="19.6640625" style="22" customWidth="1"/>
    <col min="5" max="5" width="10.6640625" style="5" customWidth="1"/>
    <col min="6" max="6" width="13" style="5" customWidth="1"/>
    <col min="7" max="7" width="13.6640625" style="5" customWidth="1"/>
    <col min="8" max="8" width="18.33203125" style="6" customWidth="1"/>
    <col min="9" max="9" width="5.33203125" style="5" customWidth="1"/>
    <col min="10" max="10" width="12.6640625" style="4" customWidth="1"/>
    <col min="11" max="11" width="18.33203125" style="4" bestFit="1" customWidth="1"/>
    <col min="12" max="12" width="14.1640625" style="4" customWidth="1"/>
    <col min="13" max="13" width="15.5" style="4" bestFit="1" customWidth="1"/>
    <col min="14" max="14" width="10.6640625" style="4" bestFit="1" customWidth="1"/>
    <col min="15" max="256" width="9.33203125" style="4"/>
    <col min="257" max="257" width="11.5" style="4" customWidth="1"/>
    <col min="258" max="258" width="6.5" style="4" customWidth="1"/>
    <col min="259" max="259" width="7.6640625" style="4" customWidth="1"/>
    <col min="260" max="260" width="19.6640625" style="4" customWidth="1"/>
    <col min="261" max="261" width="10.6640625" style="4" customWidth="1"/>
    <col min="262" max="262" width="13" style="4" customWidth="1"/>
    <col min="263" max="263" width="13.6640625" style="4" customWidth="1"/>
    <col min="264" max="264" width="18.33203125" style="4" customWidth="1"/>
    <col min="265" max="265" width="5.33203125" style="4" customWidth="1"/>
    <col min="266" max="266" width="12.6640625" style="4" customWidth="1"/>
    <col min="267" max="267" width="18.33203125" style="4" bestFit="1" customWidth="1"/>
    <col min="268" max="268" width="14.1640625" style="4" customWidth="1"/>
    <col min="269" max="269" width="15.5" style="4" bestFit="1" customWidth="1"/>
    <col min="270" max="270" width="10.6640625" style="4" bestFit="1" customWidth="1"/>
    <col min="271" max="512" width="9.33203125" style="4"/>
    <col min="513" max="513" width="11.5" style="4" customWidth="1"/>
    <col min="514" max="514" width="6.5" style="4" customWidth="1"/>
    <col min="515" max="515" width="7.6640625" style="4" customWidth="1"/>
    <col min="516" max="516" width="19.6640625" style="4" customWidth="1"/>
    <col min="517" max="517" width="10.6640625" style="4" customWidth="1"/>
    <col min="518" max="518" width="13" style="4" customWidth="1"/>
    <col min="519" max="519" width="13.6640625" style="4" customWidth="1"/>
    <col min="520" max="520" width="18.33203125" style="4" customWidth="1"/>
    <col min="521" max="521" width="5.33203125" style="4" customWidth="1"/>
    <col min="522" max="522" width="12.6640625" style="4" customWidth="1"/>
    <col min="523" max="523" width="18.33203125" style="4" bestFit="1" customWidth="1"/>
    <col min="524" max="524" width="14.1640625" style="4" customWidth="1"/>
    <col min="525" max="525" width="15.5" style="4" bestFit="1" customWidth="1"/>
    <col min="526" max="526" width="10.6640625" style="4" bestFit="1" customWidth="1"/>
    <col min="527" max="768" width="9.33203125" style="4"/>
    <col min="769" max="769" width="11.5" style="4" customWidth="1"/>
    <col min="770" max="770" width="6.5" style="4" customWidth="1"/>
    <col min="771" max="771" width="7.6640625" style="4" customWidth="1"/>
    <col min="772" max="772" width="19.6640625" style="4" customWidth="1"/>
    <col min="773" max="773" width="10.6640625" style="4" customWidth="1"/>
    <col min="774" max="774" width="13" style="4" customWidth="1"/>
    <col min="775" max="775" width="13.6640625" style="4" customWidth="1"/>
    <col min="776" max="776" width="18.33203125" style="4" customWidth="1"/>
    <col min="777" max="777" width="5.33203125" style="4" customWidth="1"/>
    <col min="778" max="778" width="12.6640625" style="4" customWidth="1"/>
    <col min="779" max="779" width="18.33203125" style="4" bestFit="1" customWidth="1"/>
    <col min="780" max="780" width="14.1640625" style="4" customWidth="1"/>
    <col min="781" max="781" width="15.5" style="4" bestFit="1" customWidth="1"/>
    <col min="782" max="782" width="10.6640625" style="4" bestFit="1" customWidth="1"/>
    <col min="783" max="1024" width="9.33203125" style="4"/>
    <col min="1025" max="1025" width="11.5" style="4" customWidth="1"/>
    <col min="1026" max="1026" width="6.5" style="4" customWidth="1"/>
    <col min="1027" max="1027" width="7.6640625" style="4" customWidth="1"/>
    <col min="1028" max="1028" width="19.6640625" style="4" customWidth="1"/>
    <col min="1029" max="1029" width="10.6640625" style="4" customWidth="1"/>
    <col min="1030" max="1030" width="13" style="4" customWidth="1"/>
    <col min="1031" max="1031" width="13.6640625" style="4" customWidth="1"/>
    <col min="1032" max="1032" width="18.33203125" style="4" customWidth="1"/>
    <col min="1033" max="1033" width="5.33203125" style="4" customWidth="1"/>
    <col min="1034" max="1034" width="12.6640625" style="4" customWidth="1"/>
    <col min="1035" max="1035" width="18.33203125" style="4" bestFit="1" customWidth="1"/>
    <col min="1036" max="1036" width="14.1640625" style="4" customWidth="1"/>
    <col min="1037" max="1037" width="15.5" style="4" bestFit="1" customWidth="1"/>
    <col min="1038" max="1038" width="10.6640625" style="4" bestFit="1" customWidth="1"/>
    <col min="1039" max="1280" width="9.33203125" style="4"/>
    <col min="1281" max="1281" width="11.5" style="4" customWidth="1"/>
    <col min="1282" max="1282" width="6.5" style="4" customWidth="1"/>
    <col min="1283" max="1283" width="7.6640625" style="4" customWidth="1"/>
    <col min="1284" max="1284" width="19.6640625" style="4" customWidth="1"/>
    <col min="1285" max="1285" width="10.6640625" style="4" customWidth="1"/>
    <col min="1286" max="1286" width="13" style="4" customWidth="1"/>
    <col min="1287" max="1287" width="13.6640625" style="4" customWidth="1"/>
    <col min="1288" max="1288" width="18.33203125" style="4" customWidth="1"/>
    <col min="1289" max="1289" width="5.33203125" style="4" customWidth="1"/>
    <col min="1290" max="1290" width="12.6640625" style="4" customWidth="1"/>
    <col min="1291" max="1291" width="18.33203125" style="4" bestFit="1" customWidth="1"/>
    <col min="1292" max="1292" width="14.1640625" style="4" customWidth="1"/>
    <col min="1293" max="1293" width="15.5" style="4" bestFit="1" customWidth="1"/>
    <col min="1294" max="1294" width="10.6640625" style="4" bestFit="1" customWidth="1"/>
    <col min="1295" max="1536" width="9.33203125" style="4"/>
    <col min="1537" max="1537" width="11.5" style="4" customWidth="1"/>
    <col min="1538" max="1538" width="6.5" style="4" customWidth="1"/>
    <col min="1539" max="1539" width="7.6640625" style="4" customWidth="1"/>
    <col min="1540" max="1540" width="19.6640625" style="4" customWidth="1"/>
    <col min="1541" max="1541" width="10.6640625" style="4" customWidth="1"/>
    <col min="1542" max="1542" width="13" style="4" customWidth="1"/>
    <col min="1543" max="1543" width="13.6640625" style="4" customWidth="1"/>
    <col min="1544" max="1544" width="18.33203125" style="4" customWidth="1"/>
    <col min="1545" max="1545" width="5.33203125" style="4" customWidth="1"/>
    <col min="1546" max="1546" width="12.6640625" style="4" customWidth="1"/>
    <col min="1547" max="1547" width="18.33203125" style="4" bestFit="1" customWidth="1"/>
    <col min="1548" max="1548" width="14.1640625" style="4" customWidth="1"/>
    <col min="1549" max="1549" width="15.5" style="4" bestFit="1" customWidth="1"/>
    <col min="1550" max="1550" width="10.6640625" style="4" bestFit="1" customWidth="1"/>
    <col min="1551" max="1792" width="9.33203125" style="4"/>
    <col min="1793" max="1793" width="11.5" style="4" customWidth="1"/>
    <col min="1794" max="1794" width="6.5" style="4" customWidth="1"/>
    <col min="1795" max="1795" width="7.6640625" style="4" customWidth="1"/>
    <col min="1796" max="1796" width="19.6640625" style="4" customWidth="1"/>
    <col min="1797" max="1797" width="10.6640625" style="4" customWidth="1"/>
    <col min="1798" max="1798" width="13" style="4" customWidth="1"/>
    <col min="1799" max="1799" width="13.6640625" style="4" customWidth="1"/>
    <col min="1800" max="1800" width="18.33203125" style="4" customWidth="1"/>
    <col min="1801" max="1801" width="5.33203125" style="4" customWidth="1"/>
    <col min="1802" max="1802" width="12.6640625" style="4" customWidth="1"/>
    <col min="1803" max="1803" width="18.33203125" style="4" bestFit="1" customWidth="1"/>
    <col min="1804" max="1804" width="14.1640625" style="4" customWidth="1"/>
    <col min="1805" max="1805" width="15.5" style="4" bestFit="1" customWidth="1"/>
    <col min="1806" max="1806" width="10.6640625" style="4" bestFit="1" customWidth="1"/>
    <col min="1807" max="2048" width="9.33203125" style="4"/>
    <col min="2049" max="2049" width="11.5" style="4" customWidth="1"/>
    <col min="2050" max="2050" width="6.5" style="4" customWidth="1"/>
    <col min="2051" max="2051" width="7.6640625" style="4" customWidth="1"/>
    <col min="2052" max="2052" width="19.6640625" style="4" customWidth="1"/>
    <col min="2053" max="2053" width="10.6640625" style="4" customWidth="1"/>
    <col min="2054" max="2054" width="13" style="4" customWidth="1"/>
    <col min="2055" max="2055" width="13.6640625" style="4" customWidth="1"/>
    <col min="2056" max="2056" width="18.33203125" style="4" customWidth="1"/>
    <col min="2057" max="2057" width="5.33203125" style="4" customWidth="1"/>
    <col min="2058" max="2058" width="12.6640625" style="4" customWidth="1"/>
    <col min="2059" max="2059" width="18.33203125" style="4" bestFit="1" customWidth="1"/>
    <col min="2060" max="2060" width="14.1640625" style="4" customWidth="1"/>
    <col min="2061" max="2061" width="15.5" style="4" bestFit="1" customWidth="1"/>
    <col min="2062" max="2062" width="10.6640625" style="4" bestFit="1" customWidth="1"/>
    <col min="2063" max="2304" width="9.33203125" style="4"/>
    <col min="2305" max="2305" width="11.5" style="4" customWidth="1"/>
    <col min="2306" max="2306" width="6.5" style="4" customWidth="1"/>
    <col min="2307" max="2307" width="7.6640625" style="4" customWidth="1"/>
    <col min="2308" max="2308" width="19.6640625" style="4" customWidth="1"/>
    <col min="2309" max="2309" width="10.6640625" style="4" customWidth="1"/>
    <col min="2310" max="2310" width="13" style="4" customWidth="1"/>
    <col min="2311" max="2311" width="13.6640625" style="4" customWidth="1"/>
    <col min="2312" max="2312" width="18.33203125" style="4" customWidth="1"/>
    <col min="2313" max="2313" width="5.33203125" style="4" customWidth="1"/>
    <col min="2314" max="2314" width="12.6640625" style="4" customWidth="1"/>
    <col min="2315" max="2315" width="18.33203125" style="4" bestFit="1" customWidth="1"/>
    <col min="2316" max="2316" width="14.1640625" style="4" customWidth="1"/>
    <col min="2317" max="2317" width="15.5" style="4" bestFit="1" customWidth="1"/>
    <col min="2318" max="2318" width="10.6640625" style="4" bestFit="1" customWidth="1"/>
    <col min="2319" max="2560" width="9.33203125" style="4"/>
    <col min="2561" max="2561" width="11.5" style="4" customWidth="1"/>
    <col min="2562" max="2562" width="6.5" style="4" customWidth="1"/>
    <col min="2563" max="2563" width="7.6640625" style="4" customWidth="1"/>
    <col min="2564" max="2564" width="19.6640625" style="4" customWidth="1"/>
    <col min="2565" max="2565" width="10.6640625" style="4" customWidth="1"/>
    <col min="2566" max="2566" width="13" style="4" customWidth="1"/>
    <col min="2567" max="2567" width="13.6640625" style="4" customWidth="1"/>
    <col min="2568" max="2568" width="18.33203125" style="4" customWidth="1"/>
    <col min="2569" max="2569" width="5.33203125" style="4" customWidth="1"/>
    <col min="2570" max="2570" width="12.6640625" style="4" customWidth="1"/>
    <col min="2571" max="2571" width="18.33203125" style="4" bestFit="1" customWidth="1"/>
    <col min="2572" max="2572" width="14.1640625" style="4" customWidth="1"/>
    <col min="2573" max="2573" width="15.5" style="4" bestFit="1" customWidth="1"/>
    <col min="2574" max="2574" width="10.6640625" style="4" bestFit="1" customWidth="1"/>
    <col min="2575" max="2816" width="9.33203125" style="4"/>
    <col min="2817" max="2817" width="11.5" style="4" customWidth="1"/>
    <col min="2818" max="2818" width="6.5" style="4" customWidth="1"/>
    <col min="2819" max="2819" width="7.6640625" style="4" customWidth="1"/>
    <col min="2820" max="2820" width="19.6640625" style="4" customWidth="1"/>
    <col min="2821" max="2821" width="10.6640625" style="4" customWidth="1"/>
    <col min="2822" max="2822" width="13" style="4" customWidth="1"/>
    <col min="2823" max="2823" width="13.6640625" style="4" customWidth="1"/>
    <col min="2824" max="2824" width="18.33203125" style="4" customWidth="1"/>
    <col min="2825" max="2825" width="5.33203125" style="4" customWidth="1"/>
    <col min="2826" max="2826" width="12.6640625" style="4" customWidth="1"/>
    <col min="2827" max="2827" width="18.33203125" style="4" bestFit="1" customWidth="1"/>
    <col min="2828" max="2828" width="14.1640625" style="4" customWidth="1"/>
    <col min="2829" max="2829" width="15.5" style="4" bestFit="1" customWidth="1"/>
    <col min="2830" max="2830" width="10.6640625" style="4" bestFit="1" customWidth="1"/>
    <col min="2831" max="3072" width="9.33203125" style="4"/>
    <col min="3073" max="3073" width="11.5" style="4" customWidth="1"/>
    <col min="3074" max="3074" width="6.5" style="4" customWidth="1"/>
    <col min="3075" max="3075" width="7.6640625" style="4" customWidth="1"/>
    <col min="3076" max="3076" width="19.6640625" style="4" customWidth="1"/>
    <col min="3077" max="3077" width="10.6640625" style="4" customWidth="1"/>
    <col min="3078" max="3078" width="13" style="4" customWidth="1"/>
    <col min="3079" max="3079" width="13.6640625" style="4" customWidth="1"/>
    <col min="3080" max="3080" width="18.33203125" style="4" customWidth="1"/>
    <col min="3081" max="3081" width="5.33203125" style="4" customWidth="1"/>
    <col min="3082" max="3082" width="12.6640625" style="4" customWidth="1"/>
    <col min="3083" max="3083" width="18.33203125" style="4" bestFit="1" customWidth="1"/>
    <col min="3084" max="3084" width="14.1640625" style="4" customWidth="1"/>
    <col min="3085" max="3085" width="15.5" style="4" bestFit="1" customWidth="1"/>
    <col min="3086" max="3086" width="10.6640625" style="4" bestFit="1" customWidth="1"/>
    <col min="3087" max="3328" width="9.33203125" style="4"/>
    <col min="3329" max="3329" width="11.5" style="4" customWidth="1"/>
    <col min="3330" max="3330" width="6.5" style="4" customWidth="1"/>
    <col min="3331" max="3331" width="7.6640625" style="4" customWidth="1"/>
    <col min="3332" max="3332" width="19.6640625" style="4" customWidth="1"/>
    <col min="3333" max="3333" width="10.6640625" style="4" customWidth="1"/>
    <col min="3334" max="3334" width="13" style="4" customWidth="1"/>
    <col min="3335" max="3335" width="13.6640625" style="4" customWidth="1"/>
    <col min="3336" max="3336" width="18.33203125" style="4" customWidth="1"/>
    <col min="3337" max="3337" width="5.33203125" style="4" customWidth="1"/>
    <col min="3338" max="3338" width="12.6640625" style="4" customWidth="1"/>
    <col min="3339" max="3339" width="18.33203125" style="4" bestFit="1" customWidth="1"/>
    <col min="3340" max="3340" width="14.1640625" style="4" customWidth="1"/>
    <col min="3341" max="3341" width="15.5" style="4" bestFit="1" customWidth="1"/>
    <col min="3342" max="3342" width="10.6640625" style="4" bestFit="1" customWidth="1"/>
    <col min="3343" max="3584" width="9.33203125" style="4"/>
    <col min="3585" max="3585" width="11.5" style="4" customWidth="1"/>
    <col min="3586" max="3586" width="6.5" style="4" customWidth="1"/>
    <col min="3587" max="3587" width="7.6640625" style="4" customWidth="1"/>
    <col min="3588" max="3588" width="19.6640625" style="4" customWidth="1"/>
    <col min="3589" max="3589" width="10.6640625" style="4" customWidth="1"/>
    <col min="3590" max="3590" width="13" style="4" customWidth="1"/>
    <col min="3591" max="3591" width="13.6640625" style="4" customWidth="1"/>
    <col min="3592" max="3592" width="18.33203125" style="4" customWidth="1"/>
    <col min="3593" max="3593" width="5.33203125" style="4" customWidth="1"/>
    <col min="3594" max="3594" width="12.6640625" style="4" customWidth="1"/>
    <col min="3595" max="3595" width="18.33203125" style="4" bestFit="1" customWidth="1"/>
    <col min="3596" max="3596" width="14.1640625" style="4" customWidth="1"/>
    <col min="3597" max="3597" width="15.5" style="4" bestFit="1" customWidth="1"/>
    <col min="3598" max="3598" width="10.6640625" style="4" bestFit="1" customWidth="1"/>
    <col min="3599" max="3840" width="9.33203125" style="4"/>
    <col min="3841" max="3841" width="11.5" style="4" customWidth="1"/>
    <col min="3842" max="3842" width="6.5" style="4" customWidth="1"/>
    <col min="3843" max="3843" width="7.6640625" style="4" customWidth="1"/>
    <col min="3844" max="3844" width="19.6640625" style="4" customWidth="1"/>
    <col min="3845" max="3845" width="10.6640625" style="4" customWidth="1"/>
    <col min="3846" max="3846" width="13" style="4" customWidth="1"/>
    <col min="3847" max="3847" width="13.6640625" style="4" customWidth="1"/>
    <col min="3848" max="3848" width="18.33203125" style="4" customWidth="1"/>
    <col min="3849" max="3849" width="5.33203125" style="4" customWidth="1"/>
    <col min="3850" max="3850" width="12.6640625" style="4" customWidth="1"/>
    <col min="3851" max="3851" width="18.33203125" style="4" bestFit="1" customWidth="1"/>
    <col min="3852" max="3852" width="14.1640625" style="4" customWidth="1"/>
    <col min="3853" max="3853" width="15.5" style="4" bestFit="1" customWidth="1"/>
    <col min="3854" max="3854" width="10.6640625" style="4" bestFit="1" customWidth="1"/>
    <col min="3855" max="4096" width="9.33203125" style="4"/>
    <col min="4097" max="4097" width="11.5" style="4" customWidth="1"/>
    <col min="4098" max="4098" width="6.5" style="4" customWidth="1"/>
    <col min="4099" max="4099" width="7.6640625" style="4" customWidth="1"/>
    <col min="4100" max="4100" width="19.6640625" style="4" customWidth="1"/>
    <col min="4101" max="4101" width="10.6640625" style="4" customWidth="1"/>
    <col min="4102" max="4102" width="13" style="4" customWidth="1"/>
    <col min="4103" max="4103" width="13.6640625" style="4" customWidth="1"/>
    <col min="4104" max="4104" width="18.33203125" style="4" customWidth="1"/>
    <col min="4105" max="4105" width="5.33203125" style="4" customWidth="1"/>
    <col min="4106" max="4106" width="12.6640625" style="4" customWidth="1"/>
    <col min="4107" max="4107" width="18.33203125" style="4" bestFit="1" customWidth="1"/>
    <col min="4108" max="4108" width="14.1640625" style="4" customWidth="1"/>
    <col min="4109" max="4109" width="15.5" style="4" bestFit="1" customWidth="1"/>
    <col min="4110" max="4110" width="10.6640625" style="4" bestFit="1" customWidth="1"/>
    <col min="4111" max="4352" width="9.33203125" style="4"/>
    <col min="4353" max="4353" width="11.5" style="4" customWidth="1"/>
    <col min="4354" max="4354" width="6.5" style="4" customWidth="1"/>
    <col min="4355" max="4355" width="7.6640625" style="4" customWidth="1"/>
    <col min="4356" max="4356" width="19.6640625" style="4" customWidth="1"/>
    <col min="4357" max="4357" width="10.6640625" style="4" customWidth="1"/>
    <col min="4358" max="4358" width="13" style="4" customWidth="1"/>
    <col min="4359" max="4359" width="13.6640625" style="4" customWidth="1"/>
    <col min="4360" max="4360" width="18.33203125" style="4" customWidth="1"/>
    <col min="4361" max="4361" width="5.33203125" style="4" customWidth="1"/>
    <col min="4362" max="4362" width="12.6640625" style="4" customWidth="1"/>
    <col min="4363" max="4363" width="18.33203125" style="4" bestFit="1" customWidth="1"/>
    <col min="4364" max="4364" width="14.1640625" style="4" customWidth="1"/>
    <col min="4365" max="4365" width="15.5" style="4" bestFit="1" customWidth="1"/>
    <col min="4366" max="4366" width="10.6640625" style="4" bestFit="1" customWidth="1"/>
    <col min="4367" max="4608" width="9.33203125" style="4"/>
    <col min="4609" max="4609" width="11.5" style="4" customWidth="1"/>
    <col min="4610" max="4610" width="6.5" style="4" customWidth="1"/>
    <col min="4611" max="4611" width="7.6640625" style="4" customWidth="1"/>
    <col min="4612" max="4612" width="19.6640625" style="4" customWidth="1"/>
    <col min="4613" max="4613" width="10.6640625" style="4" customWidth="1"/>
    <col min="4614" max="4614" width="13" style="4" customWidth="1"/>
    <col min="4615" max="4615" width="13.6640625" style="4" customWidth="1"/>
    <col min="4616" max="4616" width="18.33203125" style="4" customWidth="1"/>
    <col min="4617" max="4617" width="5.33203125" style="4" customWidth="1"/>
    <col min="4618" max="4618" width="12.6640625" style="4" customWidth="1"/>
    <col min="4619" max="4619" width="18.33203125" style="4" bestFit="1" customWidth="1"/>
    <col min="4620" max="4620" width="14.1640625" style="4" customWidth="1"/>
    <col min="4621" max="4621" width="15.5" style="4" bestFit="1" customWidth="1"/>
    <col min="4622" max="4622" width="10.6640625" style="4" bestFit="1" customWidth="1"/>
    <col min="4623" max="4864" width="9.33203125" style="4"/>
    <col min="4865" max="4865" width="11.5" style="4" customWidth="1"/>
    <col min="4866" max="4866" width="6.5" style="4" customWidth="1"/>
    <col min="4867" max="4867" width="7.6640625" style="4" customWidth="1"/>
    <col min="4868" max="4868" width="19.6640625" style="4" customWidth="1"/>
    <col min="4869" max="4869" width="10.6640625" style="4" customWidth="1"/>
    <col min="4870" max="4870" width="13" style="4" customWidth="1"/>
    <col min="4871" max="4871" width="13.6640625" style="4" customWidth="1"/>
    <col min="4872" max="4872" width="18.33203125" style="4" customWidth="1"/>
    <col min="4873" max="4873" width="5.33203125" style="4" customWidth="1"/>
    <col min="4874" max="4874" width="12.6640625" style="4" customWidth="1"/>
    <col min="4875" max="4875" width="18.33203125" style="4" bestFit="1" customWidth="1"/>
    <col min="4876" max="4876" width="14.1640625" style="4" customWidth="1"/>
    <col min="4877" max="4877" width="15.5" style="4" bestFit="1" customWidth="1"/>
    <col min="4878" max="4878" width="10.6640625" style="4" bestFit="1" customWidth="1"/>
    <col min="4879" max="5120" width="9.33203125" style="4"/>
    <col min="5121" max="5121" width="11.5" style="4" customWidth="1"/>
    <col min="5122" max="5122" width="6.5" style="4" customWidth="1"/>
    <col min="5123" max="5123" width="7.6640625" style="4" customWidth="1"/>
    <col min="5124" max="5124" width="19.6640625" style="4" customWidth="1"/>
    <col min="5125" max="5125" width="10.6640625" style="4" customWidth="1"/>
    <col min="5126" max="5126" width="13" style="4" customWidth="1"/>
    <col min="5127" max="5127" width="13.6640625" style="4" customWidth="1"/>
    <col min="5128" max="5128" width="18.33203125" style="4" customWidth="1"/>
    <col min="5129" max="5129" width="5.33203125" style="4" customWidth="1"/>
    <col min="5130" max="5130" width="12.6640625" style="4" customWidth="1"/>
    <col min="5131" max="5131" width="18.33203125" style="4" bestFit="1" customWidth="1"/>
    <col min="5132" max="5132" width="14.1640625" style="4" customWidth="1"/>
    <col min="5133" max="5133" width="15.5" style="4" bestFit="1" customWidth="1"/>
    <col min="5134" max="5134" width="10.6640625" style="4" bestFit="1" customWidth="1"/>
    <col min="5135" max="5376" width="9.33203125" style="4"/>
    <col min="5377" max="5377" width="11.5" style="4" customWidth="1"/>
    <col min="5378" max="5378" width="6.5" style="4" customWidth="1"/>
    <col min="5379" max="5379" width="7.6640625" style="4" customWidth="1"/>
    <col min="5380" max="5380" width="19.6640625" style="4" customWidth="1"/>
    <col min="5381" max="5381" width="10.6640625" style="4" customWidth="1"/>
    <col min="5382" max="5382" width="13" style="4" customWidth="1"/>
    <col min="5383" max="5383" width="13.6640625" style="4" customWidth="1"/>
    <col min="5384" max="5384" width="18.33203125" style="4" customWidth="1"/>
    <col min="5385" max="5385" width="5.33203125" style="4" customWidth="1"/>
    <col min="5386" max="5386" width="12.6640625" style="4" customWidth="1"/>
    <col min="5387" max="5387" width="18.33203125" style="4" bestFit="1" customWidth="1"/>
    <col min="5388" max="5388" width="14.1640625" style="4" customWidth="1"/>
    <col min="5389" max="5389" width="15.5" style="4" bestFit="1" customWidth="1"/>
    <col min="5390" max="5390" width="10.6640625" style="4" bestFit="1" customWidth="1"/>
    <col min="5391" max="5632" width="9.33203125" style="4"/>
    <col min="5633" max="5633" width="11.5" style="4" customWidth="1"/>
    <col min="5634" max="5634" width="6.5" style="4" customWidth="1"/>
    <col min="5635" max="5635" width="7.6640625" style="4" customWidth="1"/>
    <col min="5636" max="5636" width="19.6640625" style="4" customWidth="1"/>
    <col min="5637" max="5637" width="10.6640625" style="4" customWidth="1"/>
    <col min="5638" max="5638" width="13" style="4" customWidth="1"/>
    <col min="5639" max="5639" width="13.6640625" style="4" customWidth="1"/>
    <col min="5640" max="5640" width="18.33203125" style="4" customWidth="1"/>
    <col min="5641" max="5641" width="5.33203125" style="4" customWidth="1"/>
    <col min="5642" max="5642" width="12.6640625" style="4" customWidth="1"/>
    <col min="5643" max="5643" width="18.33203125" style="4" bestFit="1" customWidth="1"/>
    <col min="5644" max="5644" width="14.1640625" style="4" customWidth="1"/>
    <col min="5645" max="5645" width="15.5" style="4" bestFit="1" customWidth="1"/>
    <col min="5646" max="5646" width="10.6640625" style="4" bestFit="1" customWidth="1"/>
    <col min="5647" max="5888" width="9.33203125" style="4"/>
    <col min="5889" max="5889" width="11.5" style="4" customWidth="1"/>
    <col min="5890" max="5890" width="6.5" style="4" customWidth="1"/>
    <col min="5891" max="5891" width="7.6640625" style="4" customWidth="1"/>
    <col min="5892" max="5892" width="19.6640625" style="4" customWidth="1"/>
    <col min="5893" max="5893" width="10.6640625" style="4" customWidth="1"/>
    <col min="5894" max="5894" width="13" style="4" customWidth="1"/>
    <col min="5895" max="5895" width="13.6640625" style="4" customWidth="1"/>
    <col min="5896" max="5896" width="18.33203125" style="4" customWidth="1"/>
    <col min="5897" max="5897" width="5.33203125" style="4" customWidth="1"/>
    <col min="5898" max="5898" width="12.6640625" style="4" customWidth="1"/>
    <col min="5899" max="5899" width="18.33203125" style="4" bestFit="1" customWidth="1"/>
    <col min="5900" max="5900" width="14.1640625" style="4" customWidth="1"/>
    <col min="5901" max="5901" width="15.5" style="4" bestFit="1" customWidth="1"/>
    <col min="5902" max="5902" width="10.6640625" style="4" bestFit="1" customWidth="1"/>
    <col min="5903" max="6144" width="9.33203125" style="4"/>
    <col min="6145" max="6145" width="11.5" style="4" customWidth="1"/>
    <col min="6146" max="6146" width="6.5" style="4" customWidth="1"/>
    <col min="6147" max="6147" width="7.6640625" style="4" customWidth="1"/>
    <col min="6148" max="6148" width="19.6640625" style="4" customWidth="1"/>
    <col min="6149" max="6149" width="10.6640625" style="4" customWidth="1"/>
    <col min="6150" max="6150" width="13" style="4" customWidth="1"/>
    <col min="6151" max="6151" width="13.6640625" style="4" customWidth="1"/>
    <col min="6152" max="6152" width="18.33203125" style="4" customWidth="1"/>
    <col min="6153" max="6153" width="5.33203125" style="4" customWidth="1"/>
    <col min="6154" max="6154" width="12.6640625" style="4" customWidth="1"/>
    <col min="6155" max="6155" width="18.33203125" style="4" bestFit="1" customWidth="1"/>
    <col min="6156" max="6156" width="14.1640625" style="4" customWidth="1"/>
    <col min="6157" max="6157" width="15.5" style="4" bestFit="1" customWidth="1"/>
    <col min="6158" max="6158" width="10.6640625" style="4" bestFit="1" customWidth="1"/>
    <col min="6159" max="6400" width="9.33203125" style="4"/>
    <col min="6401" max="6401" width="11.5" style="4" customWidth="1"/>
    <col min="6402" max="6402" width="6.5" style="4" customWidth="1"/>
    <col min="6403" max="6403" width="7.6640625" style="4" customWidth="1"/>
    <col min="6404" max="6404" width="19.6640625" style="4" customWidth="1"/>
    <col min="6405" max="6405" width="10.6640625" style="4" customWidth="1"/>
    <col min="6406" max="6406" width="13" style="4" customWidth="1"/>
    <col min="6407" max="6407" width="13.6640625" style="4" customWidth="1"/>
    <col min="6408" max="6408" width="18.33203125" style="4" customWidth="1"/>
    <col min="6409" max="6409" width="5.33203125" style="4" customWidth="1"/>
    <col min="6410" max="6410" width="12.6640625" style="4" customWidth="1"/>
    <col min="6411" max="6411" width="18.33203125" style="4" bestFit="1" customWidth="1"/>
    <col min="6412" max="6412" width="14.1640625" style="4" customWidth="1"/>
    <col min="6413" max="6413" width="15.5" style="4" bestFit="1" customWidth="1"/>
    <col min="6414" max="6414" width="10.6640625" style="4" bestFit="1" customWidth="1"/>
    <col min="6415" max="6656" width="9.33203125" style="4"/>
    <col min="6657" max="6657" width="11.5" style="4" customWidth="1"/>
    <col min="6658" max="6658" width="6.5" style="4" customWidth="1"/>
    <col min="6659" max="6659" width="7.6640625" style="4" customWidth="1"/>
    <col min="6660" max="6660" width="19.6640625" style="4" customWidth="1"/>
    <col min="6661" max="6661" width="10.6640625" style="4" customWidth="1"/>
    <col min="6662" max="6662" width="13" style="4" customWidth="1"/>
    <col min="6663" max="6663" width="13.6640625" style="4" customWidth="1"/>
    <col min="6664" max="6664" width="18.33203125" style="4" customWidth="1"/>
    <col min="6665" max="6665" width="5.33203125" style="4" customWidth="1"/>
    <col min="6666" max="6666" width="12.6640625" style="4" customWidth="1"/>
    <col min="6667" max="6667" width="18.33203125" style="4" bestFit="1" customWidth="1"/>
    <col min="6668" max="6668" width="14.1640625" style="4" customWidth="1"/>
    <col min="6669" max="6669" width="15.5" style="4" bestFit="1" customWidth="1"/>
    <col min="6670" max="6670" width="10.6640625" style="4" bestFit="1" customWidth="1"/>
    <col min="6671" max="6912" width="9.33203125" style="4"/>
    <col min="6913" max="6913" width="11.5" style="4" customWidth="1"/>
    <col min="6914" max="6914" width="6.5" style="4" customWidth="1"/>
    <col min="6915" max="6915" width="7.6640625" style="4" customWidth="1"/>
    <col min="6916" max="6916" width="19.6640625" style="4" customWidth="1"/>
    <col min="6917" max="6917" width="10.6640625" style="4" customWidth="1"/>
    <col min="6918" max="6918" width="13" style="4" customWidth="1"/>
    <col min="6919" max="6919" width="13.6640625" style="4" customWidth="1"/>
    <col min="6920" max="6920" width="18.33203125" style="4" customWidth="1"/>
    <col min="6921" max="6921" width="5.33203125" style="4" customWidth="1"/>
    <col min="6922" max="6922" width="12.6640625" style="4" customWidth="1"/>
    <col min="6923" max="6923" width="18.33203125" style="4" bestFit="1" customWidth="1"/>
    <col min="6924" max="6924" width="14.1640625" style="4" customWidth="1"/>
    <col min="6925" max="6925" width="15.5" style="4" bestFit="1" customWidth="1"/>
    <col min="6926" max="6926" width="10.6640625" style="4" bestFit="1" customWidth="1"/>
    <col min="6927" max="7168" width="9.33203125" style="4"/>
    <col min="7169" max="7169" width="11.5" style="4" customWidth="1"/>
    <col min="7170" max="7170" width="6.5" style="4" customWidth="1"/>
    <col min="7171" max="7171" width="7.6640625" style="4" customWidth="1"/>
    <col min="7172" max="7172" width="19.6640625" style="4" customWidth="1"/>
    <col min="7173" max="7173" width="10.6640625" style="4" customWidth="1"/>
    <col min="7174" max="7174" width="13" style="4" customWidth="1"/>
    <col min="7175" max="7175" width="13.6640625" style="4" customWidth="1"/>
    <col min="7176" max="7176" width="18.33203125" style="4" customWidth="1"/>
    <col min="7177" max="7177" width="5.33203125" style="4" customWidth="1"/>
    <col min="7178" max="7178" width="12.6640625" style="4" customWidth="1"/>
    <col min="7179" max="7179" width="18.33203125" style="4" bestFit="1" customWidth="1"/>
    <col min="7180" max="7180" width="14.1640625" style="4" customWidth="1"/>
    <col min="7181" max="7181" width="15.5" style="4" bestFit="1" customWidth="1"/>
    <col min="7182" max="7182" width="10.6640625" style="4" bestFit="1" customWidth="1"/>
    <col min="7183" max="7424" width="9.33203125" style="4"/>
    <col min="7425" max="7425" width="11.5" style="4" customWidth="1"/>
    <col min="7426" max="7426" width="6.5" style="4" customWidth="1"/>
    <col min="7427" max="7427" width="7.6640625" style="4" customWidth="1"/>
    <col min="7428" max="7428" width="19.6640625" style="4" customWidth="1"/>
    <col min="7429" max="7429" width="10.6640625" style="4" customWidth="1"/>
    <col min="7430" max="7430" width="13" style="4" customWidth="1"/>
    <col min="7431" max="7431" width="13.6640625" style="4" customWidth="1"/>
    <col min="7432" max="7432" width="18.33203125" style="4" customWidth="1"/>
    <col min="7433" max="7433" width="5.33203125" style="4" customWidth="1"/>
    <col min="7434" max="7434" width="12.6640625" style="4" customWidth="1"/>
    <col min="7435" max="7435" width="18.33203125" style="4" bestFit="1" customWidth="1"/>
    <col min="7436" max="7436" width="14.1640625" style="4" customWidth="1"/>
    <col min="7437" max="7437" width="15.5" style="4" bestFit="1" customWidth="1"/>
    <col min="7438" max="7438" width="10.6640625" style="4" bestFit="1" customWidth="1"/>
    <col min="7439" max="7680" width="9.33203125" style="4"/>
    <col min="7681" max="7681" width="11.5" style="4" customWidth="1"/>
    <col min="7682" max="7682" width="6.5" style="4" customWidth="1"/>
    <col min="7683" max="7683" width="7.6640625" style="4" customWidth="1"/>
    <col min="7684" max="7684" width="19.6640625" style="4" customWidth="1"/>
    <col min="7685" max="7685" width="10.6640625" style="4" customWidth="1"/>
    <col min="7686" max="7686" width="13" style="4" customWidth="1"/>
    <col min="7687" max="7687" width="13.6640625" style="4" customWidth="1"/>
    <col min="7688" max="7688" width="18.33203125" style="4" customWidth="1"/>
    <col min="7689" max="7689" width="5.33203125" style="4" customWidth="1"/>
    <col min="7690" max="7690" width="12.6640625" style="4" customWidth="1"/>
    <col min="7691" max="7691" width="18.33203125" style="4" bestFit="1" customWidth="1"/>
    <col min="7692" max="7692" width="14.1640625" style="4" customWidth="1"/>
    <col min="7693" max="7693" width="15.5" style="4" bestFit="1" customWidth="1"/>
    <col min="7694" max="7694" width="10.6640625" style="4" bestFit="1" customWidth="1"/>
    <col min="7695" max="7936" width="9.33203125" style="4"/>
    <col min="7937" max="7937" width="11.5" style="4" customWidth="1"/>
    <col min="7938" max="7938" width="6.5" style="4" customWidth="1"/>
    <col min="7939" max="7939" width="7.6640625" style="4" customWidth="1"/>
    <col min="7940" max="7940" width="19.6640625" style="4" customWidth="1"/>
    <col min="7941" max="7941" width="10.6640625" style="4" customWidth="1"/>
    <col min="7942" max="7942" width="13" style="4" customWidth="1"/>
    <col min="7943" max="7943" width="13.6640625" style="4" customWidth="1"/>
    <col min="7944" max="7944" width="18.33203125" style="4" customWidth="1"/>
    <col min="7945" max="7945" width="5.33203125" style="4" customWidth="1"/>
    <col min="7946" max="7946" width="12.6640625" style="4" customWidth="1"/>
    <col min="7947" max="7947" width="18.33203125" style="4" bestFit="1" customWidth="1"/>
    <col min="7948" max="7948" width="14.1640625" style="4" customWidth="1"/>
    <col min="7949" max="7949" width="15.5" style="4" bestFit="1" customWidth="1"/>
    <col min="7950" max="7950" width="10.6640625" style="4" bestFit="1" customWidth="1"/>
    <col min="7951" max="8192" width="9.33203125" style="4"/>
    <col min="8193" max="8193" width="11.5" style="4" customWidth="1"/>
    <col min="8194" max="8194" width="6.5" style="4" customWidth="1"/>
    <col min="8195" max="8195" width="7.6640625" style="4" customWidth="1"/>
    <col min="8196" max="8196" width="19.6640625" style="4" customWidth="1"/>
    <col min="8197" max="8197" width="10.6640625" style="4" customWidth="1"/>
    <col min="8198" max="8198" width="13" style="4" customWidth="1"/>
    <col min="8199" max="8199" width="13.6640625" style="4" customWidth="1"/>
    <col min="8200" max="8200" width="18.33203125" style="4" customWidth="1"/>
    <col min="8201" max="8201" width="5.33203125" style="4" customWidth="1"/>
    <col min="8202" max="8202" width="12.6640625" style="4" customWidth="1"/>
    <col min="8203" max="8203" width="18.33203125" style="4" bestFit="1" customWidth="1"/>
    <col min="8204" max="8204" width="14.1640625" style="4" customWidth="1"/>
    <col min="8205" max="8205" width="15.5" style="4" bestFit="1" customWidth="1"/>
    <col min="8206" max="8206" width="10.6640625" style="4" bestFit="1" customWidth="1"/>
    <col min="8207" max="8448" width="9.33203125" style="4"/>
    <col min="8449" max="8449" width="11.5" style="4" customWidth="1"/>
    <col min="8450" max="8450" width="6.5" style="4" customWidth="1"/>
    <col min="8451" max="8451" width="7.6640625" style="4" customWidth="1"/>
    <col min="8452" max="8452" width="19.6640625" style="4" customWidth="1"/>
    <col min="8453" max="8453" width="10.6640625" style="4" customWidth="1"/>
    <col min="8454" max="8454" width="13" style="4" customWidth="1"/>
    <col min="8455" max="8455" width="13.6640625" style="4" customWidth="1"/>
    <col min="8456" max="8456" width="18.33203125" style="4" customWidth="1"/>
    <col min="8457" max="8457" width="5.33203125" style="4" customWidth="1"/>
    <col min="8458" max="8458" width="12.6640625" style="4" customWidth="1"/>
    <col min="8459" max="8459" width="18.33203125" style="4" bestFit="1" customWidth="1"/>
    <col min="8460" max="8460" width="14.1640625" style="4" customWidth="1"/>
    <col min="8461" max="8461" width="15.5" style="4" bestFit="1" customWidth="1"/>
    <col min="8462" max="8462" width="10.6640625" style="4" bestFit="1" customWidth="1"/>
    <col min="8463" max="8704" width="9.33203125" style="4"/>
    <col min="8705" max="8705" width="11.5" style="4" customWidth="1"/>
    <col min="8706" max="8706" width="6.5" style="4" customWidth="1"/>
    <col min="8707" max="8707" width="7.6640625" style="4" customWidth="1"/>
    <col min="8708" max="8708" width="19.6640625" style="4" customWidth="1"/>
    <col min="8709" max="8709" width="10.6640625" style="4" customWidth="1"/>
    <col min="8710" max="8710" width="13" style="4" customWidth="1"/>
    <col min="8711" max="8711" width="13.6640625" style="4" customWidth="1"/>
    <col min="8712" max="8712" width="18.33203125" style="4" customWidth="1"/>
    <col min="8713" max="8713" width="5.33203125" style="4" customWidth="1"/>
    <col min="8714" max="8714" width="12.6640625" style="4" customWidth="1"/>
    <col min="8715" max="8715" width="18.33203125" style="4" bestFit="1" customWidth="1"/>
    <col min="8716" max="8716" width="14.1640625" style="4" customWidth="1"/>
    <col min="8717" max="8717" width="15.5" style="4" bestFit="1" customWidth="1"/>
    <col min="8718" max="8718" width="10.6640625" style="4" bestFit="1" customWidth="1"/>
    <col min="8719" max="8960" width="9.33203125" style="4"/>
    <col min="8961" max="8961" width="11.5" style="4" customWidth="1"/>
    <col min="8962" max="8962" width="6.5" style="4" customWidth="1"/>
    <col min="8963" max="8963" width="7.6640625" style="4" customWidth="1"/>
    <col min="8964" max="8964" width="19.6640625" style="4" customWidth="1"/>
    <col min="8965" max="8965" width="10.6640625" style="4" customWidth="1"/>
    <col min="8966" max="8966" width="13" style="4" customWidth="1"/>
    <col min="8967" max="8967" width="13.6640625" style="4" customWidth="1"/>
    <col min="8968" max="8968" width="18.33203125" style="4" customWidth="1"/>
    <col min="8969" max="8969" width="5.33203125" style="4" customWidth="1"/>
    <col min="8970" max="8970" width="12.6640625" style="4" customWidth="1"/>
    <col min="8971" max="8971" width="18.33203125" style="4" bestFit="1" customWidth="1"/>
    <col min="8972" max="8972" width="14.1640625" style="4" customWidth="1"/>
    <col min="8973" max="8973" width="15.5" style="4" bestFit="1" customWidth="1"/>
    <col min="8974" max="8974" width="10.6640625" style="4" bestFit="1" customWidth="1"/>
    <col min="8975" max="9216" width="9.33203125" style="4"/>
    <col min="9217" max="9217" width="11.5" style="4" customWidth="1"/>
    <col min="9218" max="9218" width="6.5" style="4" customWidth="1"/>
    <col min="9219" max="9219" width="7.6640625" style="4" customWidth="1"/>
    <col min="9220" max="9220" width="19.6640625" style="4" customWidth="1"/>
    <col min="9221" max="9221" width="10.6640625" style="4" customWidth="1"/>
    <col min="9222" max="9222" width="13" style="4" customWidth="1"/>
    <col min="9223" max="9223" width="13.6640625" style="4" customWidth="1"/>
    <col min="9224" max="9224" width="18.33203125" style="4" customWidth="1"/>
    <col min="9225" max="9225" width="5.33203125" style="4" customWidth="1"/>
    <col min="9226" max="9226" width="12.6640625" style="4" customWidth="1"/>
    <col min="9227" max="9227" width="18.33203125" style="4" bestFit="1" customWidth="1"/>
    <col min="9228" max="9228" width="14.1640625" style="4" customWidth="1"/>
    <col min="9229" max="9229" width="15.5" style="4" bestFit="1" customWidth="1"/>
    <col min="9230" max="9230" width="10.6640625" style="4" bestFit="1" customWidth="1"/>
    <col min="9231" max="9472" width="9.33203125" style="4"/>
    <col min="9473" max="9473" width="11.5" style="4" customWidth="1"/>
    <col min="9474" max="9474" width="6.5" style="4" customWidth="1"/>
    <col min="9475" max="9475" width="7.6640625" style="4" customWidth="1"/>
    <col min="9476" max="9476" width="19.6640625" style="4" customWidth="1"/>
    <col min="9477" max="9477" width="10.6640625" style="4" customWidth="1"/>
    <col min="9478" max="9478" width="13" style="4" customWidth="1"/>
    <col min="9479" max="9479" width="13.6640625" style="4" customWidth="1"/>
    <col min="9480" max="9480" width="18.33203125" style="4" customWidth="1"/>
    <col min="9481" max="9481" width="5.33203125" style="4" customWidth="1"/>
    <col min="9482" max="9482" width="12.6640625" style="4" customWidth="1"/>
    <col min="9483" max="9483" width="18.33203125" style="4" bestFit="1" customWidth="1"/>
    <col min="9484" max="9484" width="14.1640625" style="4" customWidth="1"/>
    <col min="9485" max="9485" width="15.5" style="4" bestFit="1" customWidth="1"/>
    <col min="9486" max="9486" width="10.6640625" style="4" bestFit="1" customWidth="1"/>
    <col min="9487" max="9728" width="9.33203125" style="4"/>
    <col min="9729" max="9729" width="11.5" style="4" customWidth="1"/>
    <col min="9730" max="9730" width="6.5" style="4" customWidth="1"/>
    <col min="9731" max="9731" width="7.6640625" style="4" customWidth="1"/>
    <col min="9732" max="9732" width="19.6640625" style="4" customWidth="1"/>
    <col min="9733" max="9733" width="10.6640625" style="4" customWidth="1"/>
    <col min="9734" max="9734" width="13" style="4" customWidth="1"/>
    <col min="9735" max="9735" width="13.6640625" style="4" customWidth="1"/>
    <col min="9736" max="9736" width="18.33203125" style="4" customWidth="1"/>
    <col min="9737" max="9737" width="5.33203125" style="4" customWidth="1"/>
    <col min="9738" max="9738" width="12.6640625" style="4" customWidth="1"/>
    <col min="9739" max="9739" width="18.33203125" style="4" bestFit="1" customWidth="1"/>
    <col min="9740" max="9740" width="14.1640625" style="4" customWidth="1"/>
    <col min="9741" max="9741" width="15.5" style="4" bestFit="1" customWidth="1"/>
    <col min="9742" max="9742" width="10.6640625" style="4" bestFit="1" customWidth="1"/>
    <col min="9743" max="9984" width="9.33203125" style="4"/>
    <col min="9985" max="9985" width="11.5" style="4" customWidth="1"/>
    <col min="9986" max="9986" width="6.5" style="4" customWidth="1"/>
    <col min="9987" max="9987" width="7.6640625" style="4" customWidth="1"/>
    <col min="9988" max="9988" width="19.6640625" style="4" customWidth="1"/>
    <col min="9989" max="9989" width="10.6640625" style="4" customWidth="1"/>
    <col min="9990" max="9990" width="13" style="4" customWidth="1"/>
    <col min="9991" max="9991" width="13.6640625" style="4" customWidth="1"/>
    <col min="9992" max="9992" width="18.33203125" style="4" customWidth="1"/>
    <col min="9993" max="9993" width="5.33203125" style="4" customWidth="1"/>
    <col min="9994" max="9994" width="12.6640625" style="4" customWidth="1"/>
    <col min="9995" max="9995" width="18.33203125" style="4" bestFit="1" customWidth="1"/>
    <col min="9996" max="9996" width="14.1640625" style="4" customWidth="1"/>
    <col min="9997" max="9997" width="15.5" style="4" bestFit="1" customWidth="1"/>
    <col min="9998" max="9998" width="10.6640625" style="4" bestFit="1" customWidth="1"/>
    <col min="9999" max="10240" width="9.33203125" style="4"/>
    <col min="10241" max="10241" width="11.5" style="4" customWidth="1"/>
    <col min="10242" max="10242" width="6.5" style="4" customWidth="1"/>
    <col min="10243" max="10243" width="7.6640625" style="4" customWidth="1"/>
    <col min="10244" max="10244" width="19.6640625" style="4" customWidth="1"/>
    <col min="10245" max="10245" width="10.6640625" style="4" customWidth="1"/>
    <col min="10246" max="10246" width="13" style="4" customWidth="1"/>
    <col min="10247" max="10247" width="13.6640625" style="4" customWidth="1"/>
    <col min="10248" max="10248" width="18.33203125" style="4" customWidth="1"/>
    <col min="10249" max="10249" width="5.33203125" style="4" customWidth="1"/>
    <col min="10250" max="10250" width="12.6640625" style="4" customWidth="1"/>
    <col min="10251" max="10251" width="18.33203125" style="4" bestFit="1" customWidth="1"/>
    <col min="10252" max="10252" width="14.1640625" style="4" customWidth="1"/>
    <col min="10253" max="10253" width="15.5" style="4" bestFit="1" customWidth="1"/>
    <col min="10254" max="10254" width="10.6640625" style="4" bestFit="1" customWidth="1"/>
    <col min="10255" max="10496" width="9.33203125" style="4"/>
    <col min="10497" max="10497" width="11.5" style="4" customWidth="1"/>
    <col min="10498" max="10498" width="6.5" style="4" customWidth="1"/>
    <col min="10499" max="10499" width="7.6640625" style="4" customWidth="1"/>
    <col min="10500" max="10500" width="19.6640625" style="4" customWidth="1"/>
    <col min="10501" max="10501" width="10.6640625" style="4" customWidth="1"/>
    <col min="10502" max="10502" width="13" style="4" customWidth="1"/>
    <col min="10503" max="10503" width="13.6640625" style="4" customWidth="1"/>
    <col min="10504" max="10504" width="18.33203125" style="4" customWidth="1"/>
    <col min="10505" max="10505" width="5.33203125" style="4" customWidth="1"/>
    <col min="10506" max="10506" width="12.6640625" style="4" customWidth="1"/>
    <col min="10507" max="10507" width="18.33203125" style="4" bestFit="1" customWidth="1"/>
    <col min="10508" max="10508" width="14.1640625" style="4" customWidth="1"/>
    <col min="10509" max="10509" width="15.5" style="4" bestFit="1" customWidth="1"/>
    <col min="10510" max="10510" width="10.6640625" style="4" bestFit="1" customWidth="1"/>
    <col min="10511" max="10752" width="9.33203125" style="4"/>
    <col min="10753" max="10753" width="11.5" style="4" customWidth="1"/>
    <col min="10754" max="10754" width="6.5" style="4" customWidth="1"/>
    <col min="10755" max="10755" width="7.6640625" style="4" customWidth="1"/>
    <col min="10756" max="10756" width="19.6640625" style="4" customWidth="1"/>
    <col min="10757" max="10757" width="10.6640625" style="4" customWidth="1"/>
    <col min="10758" max="10758" width="13" style="4" customWidth="1"/>
    <col min="10759" max="10759" width="13.6640625" style="4" customWidth="1"/>
    <col min="10760" max="10760" width="18.33203125" style="4" customWidth="1"/>
    <col min="10761" max="10761" width="5.33203125" style="4" customWidth="1"/>
    <col min="10762" max="10762" width="12.6640625" style="4" customWidth="1"/>
    <col min="10763" max="10763" width="18.33203125" style="4" bestFit="1" customWidth="1"/>
    <col min="10764" max="10764" width="14.1640625" style="4" customWidth="1"/>
    <col min="10765" max="10765" width="15.5" style="4" bestFit="1" customWidth="1"/>
    <col min="10766" max="10766" width="10.6640625" style="4" bestFit="1" customWidth="1"/>
    <col min="10767" max="11008" width="9.33203125" style="4"/>
    <col min="11009" max="11009" width="11.5" style="4" customWidth="1"/>
    <col min="11010" max="11010" width="6.5" style="4" customWidth="1"/>
    <col min="11011" max="11011" width="7.6640625" style="4" customWidth="1"/>
    <col min="11012" max="11012" width="19.6640625" style="4" customWidth="1"/>
    <col min="11013" max="11013" width="10.6640625" style="4" customWidth="1"/>
    <col min="11014" max="11014" width="13" style="4" customWidth="1"/>
    <col min="11015" max="11015" width="13.6640625" style="4" customWidth="1"/>
    <col min="11016" max="11016" width="18.33203125" style="4" customWidth="1"/>
    <col min="11017" max="11017" width="5.33203125" style="4" customWidth="1"/>
    <col min="11018" max="11018" width="12.6640625" style="4" customWidth="1"/>
    <col min="11019" max="11019" width="18.33203125" style="4" bestFit="1" customWidth="1"/>
    <col min="11020" max="11020" width="14.1640625" style="4" customWidth="1"/>
    <col min="11021" max="11021" width="15.5" style="4" bestFit="1" customWidth="1"/>
    <col min="11022" max="11022" width="10.6640625" style="4" bestFit="1" customWidth="1"/>
    <col min="11023" max="11264" width="9.33203125" style="4"/>
    <col min="11265" max="11265" width="11.5" style="4" customWidth="1"/>
    <col min="11266" max="11266" width="6.5" style="4" customWidth="1"/>
    <col min="11267" max="11267" width="7.6640625" style="4" customWidth="1"/>
    <col min="11268" max="11268" width="19.6640625" style="4" customWidth="1"/>
    <col min="11269" max="11269" width="10.6640625" style="4" customWidth="1"/>
    <col min="11270" max="11270" width="13" style="4" customWidth="1"/>
    <col min="11271" max="11271" width="13.6640625" style="4" customWidth="1"/>
    <col min="11272" max="11272" width="18.33203125" style="4" customWidth="1"/>
    <col min="11273" max="11273" width="5.33203125" style="4" customWidth="1"/>
    <col min="11274" max="11274" width="12.6640625" style="4" customWidth="1"/>
    <col min="11275" max="11275" width="18.33203125" style="4" bestFit="1" customWidth="1"/>
    <col min="11276" max="11276" width="14.1640625" style="4" customWidth="1"/>
    <col min="11277" max="11277" width="15.5" style="4" bestFit="1" customWidth="1"/>
    <col min="11278" max="11278" width="10.6640625" style="4" bestFit="1" customWidth="1"/>
    <col min="11279" max="11520" width="9.33203125" style="4"/>
    <col min="11521" max="11521" width="11.5" style="4" customWidth="1"/>
    <col min="11522" max="11522" width="6.5" style="4" customWidth="1"/>
    <col min="11523" max="11523" width="7.6640625" style="4" customWidth="1"/>
    <col min="11524" max="11524" width="19.6640625" style="4" customWidth="1"/>
    <col min="11525" max="11525" width="10.6640625" style="4" customWidth="1"/>
    <col min="11526" max="11526" width="13" style="4" customWidth="1"/>
    <col min="11527" max="11527" width="13.6640625" style="4" customWidth="1"/>
    <col min="11528" max="11528" width="18.33203125" style="4" customWidth="1"/>
    <col min="11529" max="11529" width="5.33203125" style="4" customWidth="1"/>
    <col min="11530" max="11530" width="12.6640625" style="4" customWidth="1"/>
    <col min="11531" max="11531" width="18.33203125" style="4" bestFit="1" customWidth="1"/>
    <col min="11532" max="11532" width="14.1640625" style="4" customWidth="1"/>
    <col min="11533" max="11533" width="15.5" style="4" bestFit="1" customWidth="1"/>
    <col min="11534" max="11534" width="10.6640625" style="4" bestFit="1" customWidth="1"/>
    <col min="11535" max="11776" width="9.33203125" style="4"/>
    <col min="11777" max="11777" width="11.5" style="4" customWidth="1"/>
    <col min="11778" max="11778" width="6.5" style="4" customWidth="1"/>
    <col min="11779" max="11779" width="7.6640625" style="4" customWidth="1"/>
    <col min="11780" max="11780" width="19.6640625" style="4" customWidth="1"/>
    <col min="11781" max="11781" width="10.6640625" style="4" customWidth="1"/>
    <col min="11782" max="11782" width="13" style="4" customWidth="1"/>
    <col min="11783" max="11783" width="13.6640625" style="4" customWidth="1"/>
    <col min="11784" max="11784" width="18.33203125" style="4" customWidth="1"/>
    <col min="11785" max="11785" width="5.33203125" style="4" customWidth="1"/>
    <col min="11786" max="11786" width="12.6640625" style="4" customWidth="1"/>
    <col min="11787" max="11787" width="18.33203125" style="4" bestFit="1" customWidth="1"/>
    <col min="11788" max="11788" width="14.1640625" style="4" customWidth="1"/>
    <col min="11789" max="11789" width="15.5" style="4" bestFit="1" customWidth="1"/>
    <col min="11790" max="11790" width="10.6640625" style="4" bestFit="1" customWidth="1"/>
    <col min="11791" max="12032" width="9.33203125" style="4"/>
    <col min="12033" max="12033" width="11.5" style="4" customWidth="1"/>
    <col min="12034" max="12034" width="6.5" style="4" customWidth="1"/>
    <col min="12035" max="12035" width="7.6640625" style="4" customWidth="1"/>
    <col min="12036" max="12036" width="19.6640625" style="4" customWidth="1"/>
    <col min="12037" max="12037" width="10.6640625" style="4" customWidth="1"/>
    <col min="12038" max="12038" width="13" style="4" customWidth="1"/>
    <col min="12039" max="12039" width="13.6640625" style="4" customWidth="1"/>
    <col min="12040" max="12040" width="18.33203125" style="4" customWidth="1"/>
    <col min="12041" max="12041" width="5.33203125" style="4" customWidth="1"/>
    <col min="12042" max="12042" width="12.6640625" style="4" customWidth="1"/>
    <col min="12043" max="12043" width="18.33203125" style="4" bestFit="1" customWidth="1"/>
    <col min="12044" max="12044" width="14.1640625" style="4" customWidth="1"/>
    <col min="12045" max="12045" width="15.5" style="4" bestFit="1" customWidth="1"/>
    <col min="12046" max="12046" width="10.6640625" style="4" bestFit="1" customWidth="1"/>
    <col min="12047" max="12288" width="9.33203125" style="4"/>
    <col min="12289" max="12289" width="11.5" style="4" customWidth="1"/>
    <col min="12290" max="12290" width="6.5" style="4" customWidth="1"/>
    <col min="12291" max="12291" width="7.6640625" style="4" customWidth="1"/>
    <col min="12292" max="12292" width="19.6640625" style="4" customWidth="1"/>
    <col min="12293" max="12293" width="10.6640625" style="4" customWidth="1"/>
    <col min="12294" max="12294" width="13" style="4" customWidth="1"/>
    <col min="12295" max="12295" width="13.6640625" style="4" customWidth="1"/>
    <col min="12296" max="12296" width="18.33203125" style="4" customWidth="1"/>
    <col min="12297" max="12297" width="5.33203125" style="4" customWidth="1"/>
    <col min="12298" max="12298" width="12.6640625" style="4" customWidth="1"/>
    <col min="12299" max="12299" width="18.33203125" style="4" bestFit="1" customWidth="1"/>
    <col min="12300" max="12300" width="14.1640625" style="4" customWidth="1"/>
    <col min="12301" max="12301" width="15.5" style="4" bestFit="1" customWidth="1"/>
    <col min="12302" max="12302" width="10.6640625" style="4" bestFit="1" customWidth="1"/>
    <col min="12303" max="12544" width="9.33203125" style="4"/>
    <col min="12545" max="12545" width="11.5" style="4" customWidth="1"/>
    <col min="12546" max="12546" width="6.5" style="4" customWidth="1"/>
    <col min="12547" max="12547" width="7.6640625" style="4" customWidth="1"/>
    <col min="12548" max="12548" width="19.6640625" style="4" customWidth="1"/>
    <col min="12549" max="12549" width="10.6640625" style="4" customWidth="1"/>
    <col min="12550" max="12550" width="13" style="4" customWidth="1"/>
    <col min="12551" max="12551" width="13.6640625" style="4" customWidth="1"/>
    <col min="12552" max="12552" width="18.33203125" style="4" customWidth="1"/>
    <col min="12553" max="12553" width="5.33203125" style="4" customWidth="1"/>
    <col min="12554" max="12554" width="12.6640625" style="4" customWidth="1"/>
    <col min="12555" max="12555" width="18.33203125" style="4" bestFit="1" customWidth="1"/>
    <col min="12556" max="12556" width="14.1640625" style="4" customWidth="1"/>
    <col min="12557" max="12557" width="15.5" style="4" bestFit="1" customWidth="1"/>
    <col min="12558" max="12558" width="10.6640625" style="4" bestFit="1" customWidth="1"/>
    <col min="12559" max="12800" width="9.33203125" style="4"/>
    <col min="12801" max="12801" width="11.5" style="4" customWidth="1"/>
    <col min="12802" max="12802" width="6.5" style="4" customWidth="1"/>
    <col min="12803" max="12803" width="7.6640625" style="4" customWidth="1"/>
    <col min="12804" max="12804" width="19.6640625" style="4" customWidth="1"/>
    <col min="12805" max="12805" width="10.6640625" style="4" customWidth="1"/>
    <col min="12806" max="12806" width="13" style="4" customWidth="1"/>
    <col min="12807" max="12807" width="13.6640625" style="4" customWidth="1"/>
    <col min="12808" max="12808" width="18.33203125" style="4" customWidth="1"/>
    <col min="12809" max="12809" width="5.33203125" style="4" customWidth="1"/>
    <col min="12810" max="12810" width="12.6640625" style="4" customWidth="1"/>
    <col min="12811" max="12811" width="18.33203125" style="4" bestFit="1" customWidth="1"/>
    <col min="12812" max="12812" width="14.1640625" style="4" customWidth="1"/>
    <col min="12813" max="12813" width="15.5" style="4" bestFit="1" customWidth="1"/>
    <col min="12814" max="12814" width="10.6640625" style="4" bestFit="1" customWidth="1"/>
    <col min="12815" max="13056" width="9.33203125" style="4"/>
    <col min="13057" max="13057" width="11.5" style="4" customWidth="1"/>
    <col min="13058" max="13058" width="6.5" style="4" customWidth="1"/>
    <col min="13059" max="13059" width="7.6640625" style="4" customWidth="1"/>
    <col min="13060" max="13060" width="19.6640625" style="4" customWidth="1"/>
    <col min="13061" max="13061" width="10.6640625" style="4" customWidth="1"/>
    <col min="13062" max="13062" width="13" style="4" customWidth="1"/>
    <col min="13063" max="13063" width="13.6640625" style="4" customWidth="1"/>
    <col min="13064" max="13064" width="18.33203125" style="4" customWidth="1"/>
    <col min="13065" max="13065" width="5.33203125" style="4" customWidth="1"/>
    <col min="13066" max="13066" width="12.6640625" style="4" customWidth="1"/>
    <col min="13067" max="13067" width="18.33203125" style="4" bestFit="1" customWidth="1"/>
    <col min="13068" max="13068" width="14.1640625" style="4" customWidth="1"/>
    <col min="13069" max="13069" width="15.5" style="4" bestFit="1" customWidth="1"/>
    <col min="13070" max="13070" width="10.6640625" style="4" bestFit="1" customWidth="1"/>
    <col min="13071" max="13312" width="9.33203125" style="4"/>
    <col min="13313" max="13313" width="11.5" style="4" customWidth="1"/>
    <col min="13314" max="13314" width="6.5" style="4" customWidth="1"/>
    <col min="13315" max="13315" width="7.6640625" style="4" customWidth="1"/>
    <col min="13316" max="13316" width="19.6640625" style="4" customWidth="1"/>
    <col min="13317" max="13317" width="10.6640625" style="4" customWidth="1"/>
    <col min="13318" max="13318" width="13" style="4" customWidth="1"/>
    <col min="13319" max="13319" width="13.6640625" style="4" customWidth="1"/>
    <col min="13320" max="13320" width="18.33203125" style="4" customWidth="1"/>
    <col min="13321" max="13321" width="5.33203125" style="4" customWidth="1"/>
    <col min="13322" max="13322" width="12.6640625" style="4" customWidth="1"/>
    <col min="13323" max="13323" width="18.33203125" style="4" bestFit="1" customWidth="1"/>
    <col min="13324" max="13324" width="14.1640625" style="4" customWidth="1"/>
    <col min="13325" max="13325" width="15.5" style="4" bestFit="1" customWidth="1"/>
    <col min="13326" max="13326" width="10.6640625" style="4" bestFit="1" customWidth="1"/>
    <col min="13327" max="13568" width="9.33203125" style="4"/>
    <col min="13569" max="13569" width="11.5" style="4" customWidth="1"/>
    <col min="13570" max="13570" width="6.5" style="4" customWidth="1"/>
    <col min="13571" max="13571" width="7.6640625" style="4" customWidth="1"/>
    <col min="13572" max="13572" width="19.6640625" style="4" customWidth="1"/>
    <col min="13573" max="13573" width="10.6640625" style="4" customWidth="1"/>
    <col min="13574" max="13574" width="13" style="4" customWidth="1"/>
    <col min="13575" max="13575" width="13.6640625" style="4" customWidth="1"/>
    <col min="13576" max="13576" width="18.33203125" style="4" customWidth="1"/>
    <col min="13577" max="13577" width="5.33203125" style="4" customWidth="1"/>
    <col min="13578" max="13578" width="12.6640625" style="4" customWidth="1"/>
    <col min="13579" max="13579" width="18.33203125" style="4" bestFit="1" customWidth="1"/>
    <col min="13580" max="13580" width="14.1640625" style="4" customWidth="1"/>
    <col min="13581" max="13581" width="15.5" style="4" bestFit="1" customWidth="1"/>
    <col min="13582" max="13582" width="10.6640625" style="4" bestFit="1" customWidth="1"/>
    <col min="13583" max="13824" width="9.33203125" style="4"/>
    <col min="13825" max="13825" width="11.5" style="4" customWidth="1"/>
    <col min="13826" max="13826" width="6.5" style="4" customWidth="1"/>
    <col min="13827" max="13827" width="7.6640625" style="4" customWidth="1"/>
    <col min="13828" max="13828" width="19.6640625" style="4" customWidth="1"/>
    <col min="13829" max="13829" width="10.6640625" style="4" customWidth="1"/>
    <col min="13830" max="13830" width="13" style="4" customWidth="1"/>
    <col min="13831" max="13831" width="13.6640625" style="4" customWidth="1"/>
    <col min="13832" max="13832" width="18.33203125" style="4" customWidth="1"/>
    <col min="13833" max="13833" width="5.33203125" style="4" customWidth="1"/>
    <col min="13834" max="13834" width="12.6640625" style="4" customWidth="1"/>
    <col min="13835" max="13835" width="18.33203125" style="4" bestFit="1" customWidth="1"/>
    <col min="13836" max="13836" width="14.1640625" style="4" customWidth="1"/>
    <col min="13837" max="13837" width="15.5" style="4" bestFit="1" customWidth="1"/>
    <col min="13838" max="13838" width="10.6640625" style="4" bestFit="1" customWidth="1"/>
    <col min="13839" max="14080" width="9.33203125" style="4"/>
    <col min="14081" max="14081" width="11.5" style="4" customWidth="1"/>
    <col min="14082" max="14082" width="6.5" style="4" customWidth="1"/>
    <col min="14083" max="14083" width="7.6640625" style="4" customWidth="1"/>
    <col min="14084" max="14084" width="19.6640625" style="4" customWidth="1"/>
    <col min="14085" max="14085" width="10.6640625" style="4" customWidth="1"/>
    <col min="14086" max="14086" width="13" style="4" customWidth="1"/>
    <col min="14087" max="14087" width="13.6640625" style="4" customWidth="1"/>
    <col min="14088" max="14088" width="18.33203125" style="4" customWidth="1"/>
    <col min="14089" max="14089" width="5.33203125" style="4" customWidth="1"/>
    <col min="14090" max="14090" width="12.6640625" style="4" customWidth="1"/>
    <col min="14091" max="14091" width="18.33203125" style="4" bestFit="1" customWidth="1"/>
    <col min="14092" max="14092" width="14.1640625" style="4" customWidth="1"/>
    <col min="14093" max="14093" width="15.5" style="4" bestFit="1" customWidth="1"/>
    <col min="14094" max="14094" width="10.6640625" style="4" bestFit="1" customWidth="1"/>
    <col min="14095" max="14336" width="9.33203125" style="4"/>
    <col min="14337" max="14337" width="11.5" style="4" customWidth="1"/>
    <col min="14338" max="14338" width="6.5" style="4" customWidth="1"/>
    <col min="14339" max="14339" width="7.6640625" style="4" customWidth="1"/>
    <col min="14340" max="14340" width="19.6640625" style="4" customWidth="1"/>
    <col min="14341" max="14341" width="10.6640625" style="4" customWidth="1"/>
    <col min="14342" max="14342" width="13" style="4" customWidth="1"/>
    <col min="14343" max="14343" width="13.6640625" style="4" customWidth="1"/>
    <col min="14344" max="14344" width="18.33203125" style="4" customWidth="1"/>
    <col min="14345" max="14345" width="5.33203125" style="4" customWidth="1"/>
    <col min="14346" max="14346" width="12.6640625" style="4" customWidth="1"/>
    <col min="14347" max="14347" width="18.33203125" style="4" bestFit="1" customWidth="1"/>
    <col min="14348" max="14348" width="14.1640625" style="4" customWidth="1"/>
    <col min="14349" max="14349" width="15.5" style="4" bestFit="1" customWidth="1"/>
    <col min="14350" max="14350" width="10.6640625" style="4" bestFit="1" customWidth="1"/>
    <col min="14351" max="14592" width="9.33203125" style="4"/>
    <col min="14593" max="14593" width="11.5" style="4" customWidth="1"/>
    <col min="14594" max="14594" width="6.5" style="4" customWidth="1"/>
    <col min="14595" max="14595" width="7.6640625" style="4" customWidth="1"/>
    <col min="14596" max="14596" width="19.6640625" style="4" customWidth="1"/>
    <col min="14597" max="14597" width="10.6640625" style="4" customWidth="1"/>
    <col min="14598" max="14598" width="13" style="4" customWidth="1"/>
    <col min="14599" max="14599" width="13.6640625" style="4" customWidth="1"/>
    <col min="14600" max="14600" width="18.33203125" style="4" customWidth="1"/>
    <col min="14601" max="14601" width="5.33203125" style="4" customWidth="1"/>
    <col min="14602" max="14602" width="12.6640625" style="4" customWidth="1"/>
    <col min="14603" max="14603" width="18.33203125" style="4" bestFit="1" customWidth="1"/>
    <col min="14604" max="14604" width="14.1640625" style="4" customWidth="1"/>
    <col min="14605" max="14605" width="15.5" style="4" bestFit="1" customWidth="1"/>
    <col min="14606" max="14606" width="10.6640625" style="4" bestFit="1" customWidth="1"/>
    <col min="14607" max="14848" width="9.33203125" style="4"/>
    <col min="14849" max="14849" width="11.5" style="4" customWidth="1"/>
    <col min="14850" max="14850" width="6.5" style="4" customWidth="1"/>
    <col min="14851" max="14851" width="7.6640625" style="4" customWidth="1"/>
    <col min="14852" max="14852" width="19.6640625" style="4" customWidth="1"/>
    <col min="14853" max="14853" width="10.6640625" style="4" customWidth="1"/>
    <col min="14854" max="14854" width="13" style="4" customWidth="1"/>
    <col min="14855" max="14855" width="13.6640625" style="4" customWidth="1"/>
    <col min="14856" max="14856" width="18.33203125" style="4" customWidth="1"/>
    <col min="14857" max="14857" width="5.33203125" style="4" customWidth="1"/>
    <col min="14858" max="14858" width="12.6640625" style="4" customWidth="1"/>
    <col min="14859" max="14859" width="18.33203125" style="4" bestFit="1" customWidth="1"/>
    <col min="14860" max="14860" width="14.1640625" style="4" customWidth="1"/>
    <col min="14861" max="14861" width="15.5" style="4" bestFit="1" customWidth="1"/>
    <col min="14862" max="14862" width="10.6640625" style="4" bestFit="1" customWidth="1"/>
    <col min="14863" max="15104" width="9.33203125" style="4"/>
    <col min="15105" max="15105" width="11.5" style="4" customWidth="1"/>
    <col min="15106" max="15106" width="6.5" style="4" customWidth="1"/>
    <col min="15107" max="15107" width="7.6640625" style="4" customWidth="1"/>
    <col min="15108" max="15108" width="19.6640625" style="4" customWidth="1"/>
    <col min="15109" max="15109" width="10.6640625" style="4" customWidth="1"/>
    <col min="15110" max="15110" width="13" style="4" customWidth="1"/>
    <col min="15111" max="15111" width="13.6640625" style="4" customWidth="1"/>
    <col min="15112" max="15112" width="18.33203125" style="4" customWidth="1"/>
    <col min="15113" max="15113" width="5.33203125" style="4" customWidth="1"/>
    <col min="15114" max="15114" width="12.6640625" style="4" customWidth="1"/>
    <col min="15115" max="15115" width="18.33203125" style="4" bestFit="1" customWidth="1"/>
    <col min="15116" max="15116" width="14.1640625" style="4" customWidth="1"/>
    <col min="15117" max="15117" width="15.5" style="4" bestFit="1" customWidth="1"/>
    <col min="15118" max="15118" width="10.6640625" style="4" bestFit="1" customWidth="1"/>
    <col min="15119" max="15360" width="9.33203125" style="4"/>
    <col min="15361" max="15361" width="11.5" style="4" customWidth="1"/>
    <col min="15362" max="15362" width="6.5" style="4" customWidth="1"/>
    <col min="15363" max="15363" width="7.6640625" style="4" customWidth="1"/>
    <col min="15364" max="15364" width="19.6640625" style="4" customWidth="1"/>
    <col min="15365" max="15365" width="10.6640625" style="4" customWidth="1"/>
    <col min="15366" max="15366" width="13" style="4" customWidth="1"/>
    <col min="15367" max="15367" width="13.6640625" style="4" customWidth="1"/>
    <col min="15368" max="15368" width="18.33203125" style="4" customWidth="1"/>
    <col min="15369" max="15369" width="5.33203125" style="4" customWidth="1"/>
    <col min="15370" max="15370" width="12.6640625" style="4" customWidth="1"/>
    <col min="15371" max="15371" width="18.33203125" style="4" bestFit="1" customWidth="1"/>
    <col min="15372" max="15372" width="14.1640625" style="4" customWidth="1"/>
    <col min="15373" max="15373" width="15.5" style="4" bestFit="1" customWidth="1"/>
    <col min="15374" max="15374" width="10.6640625" style="4" bestFit="1" customWidth="1"/>
    <col min="15375" max="15616" width="9.33203125" style="4"/>
    <col min="15617" max="15617" width="11.5" style="4" customWidth="1"/>
    <col min="15618" max="15618" width="6.5" style="4" customWidth="1"/>
    <col min="15619" max="15619" width="7.6640625" style="4" customWidth="1"/>
    <col min="15620" max="15620" width="19.6640625" style="4" customWidth="1"/>
    <col min="15621" max="15621" width="10.6640625" style="4" customWidth="1"/>
    <col min="15622" max="15622" width="13" style="4" customWidth="1"/>
    <col min="15623" max="15623" width="13.6640625" style="4" customWidth="1"/>
    <col min="15624" max="15624" width="18.33203125" style="4" customWidth="1"/>
    <col min="15625" max="15625" width="5.33203125" style="4" customWidth="1"/>
    <col min="15626" max="15626" width="12.6640625" style="4" customWidth="1"/>
    <col min="15627" max="15627" width="18.33203125" style="4" bestFit="1" customWidth="1"/>
    <col min="15628" max="15628" width="14.1640625" style="4" customWidth="1"/>
    <col min="15629" max="15629" width="15.5" style="4" bestFit="1" customWidth="1"/>
    <col min="15630" max="15630" width="10.6640625" style="4" bestFit="1" customWidth="1"/>
    <col min="15631" max="15872" width="9.33203125" style="4"/>
    <col min="15873" max="15873" width="11.5" style="4" customWidth="1"/>
    <col min="15874" max="15874" width="6.5" style="4" customWidth="1"/>
    <col min="15875" max="15875" width="7.6640625" style="4" customWidth="1"/>
    <col min="15876" max="15876" width="19.6640625" style="4" customWidth="1"/>
    <col min="15877" max="15877" width="10.6640625" style="4" customWidth="1"/>
    <col min="15878" max="15878" width="13" style="4" customWidth="1"/>
    <col min="15879" max="15879" width="13.6640625" style="4" customWidth="1"/>
    <col min="15880" max="15880" width="18.33203125" style="4" customWidth="1"/>
    <col min="15881" max="15881" width="5.33203125" style="4" customWidth="1"/>
    <col min="15882" max="15882" width="12.6640625" style="4" customWidth="1"/>
    <col min="15883" max="15883" width="18.33203125" style="4" bestFit="1" customWidth="1"/>
    <col min="15884" max="15884" width="14.1640625" style="4" customWidth="1"/>
    <col min="15885" max="15885" width="15.5" style="4" bestFit="1" customWidth="1"/>
    <col min="15886" max="15886" width="10.6640625" style="4" bestFit="1" customWidth="1"/>
    <col min="15887" max="16128" width="9.33203125" style="4"/>
    <col min="16129" max="16129" width="11.5" style="4" customWidth="1"/>
    <col min="16130" max="16130" width="6.5" style="4" customWidth="1"/>
    <col min="16131" max="16131" width="7.6640625" style="4" customWidth="1"/>
    <col min="16132" max="16132" width="19.6640625" style="4" customWidth="1"/>
    <col min="16133" max="16133" width="10.6640625" style="4" customWidth="1"/>
    <col min="16134" max="16134" width="13" style="4" customWidth="1"/>
    <col min="16135" max="16135" width="13.6640625" style="4" customWidth="1"/>
    <col min="16136" max="16136" width="18.33203125" style="4" customWidth="1"/>
    <col min="16137" max="16137" width="5.33203125" style="4" customWidth="1"/>
    <col min="16138" max="16138" width="12.6640625" style="4" customWidth="1"/>
    <col min="16139" max="16139" width="18.33203125" style="4" bestFit="1" customWidth="1"/>
    <col min="16140" max="16140" width="14.1640625" style="4" customWidth="1"/>
    <col min="16141" max="16141" width="15.5" style="4" bestFit="1" customWidth="1"/>
    <col min="16142" max="16142" width="10.6640625" style="4" bestFit="1" customWidth="1"/>
    <col min="16143" max="16384" width="9.33203125" style="4"/>
  </cols>
  <sheetData>
    <row r="1" spans="1:16" s="3" customForma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2" t="s">
        <v>23</v>
      </c>
      <c r="I1" s="1" t="s">
        <v>24</v>
      </c>
    </row>
    <row r="2" spans="1:16">
      <c r="D2" s="5"/>
    </row>
    <row r="3" spans="1:16">
      <c r="A3" s="7">
        <v>42370</v>
      </c>
      <c r="B3" s="5">
        <v>1</v>
      </c>
      <c r="C3" s="5">
        <f t="shared" ref="C3:C66" si="0">IF(B3&lt;=$O$7,0,C2+1)</f>
        <v>1</v>
      </c>
      <c r="D3" s="8">
        <f t="shared" ref="D3:D66" si="1">$L$3</f>
        <v>56014.400000000001</v>
      </c>
      <c r="E3" s="9">
        <f t="shared" ref="E3:E66" si="2">IF(C3=0,0,-PPMT($L$4/12,$C3,$L$5*12,D3,0))</f>
        <v>109.08586071243641</v>
      </c>
      <c r="F3" s="9">
        <f t="shared" ref="F3:F66" si="3">IF(C3=0,D3*$L$4/12,-IPMT($L$4/12,C3,$L$5*12,D3,0))</f>
        <v>105.027</v>
      </c>
      <c r="G3" s="9">
        <f t="shared" ref="G3:G66" si="4">+E3+F3</f>
        <v>214.11286071243643</v>
      </c>
      <c r="H3" s="10">
        <f>D3-SUM($E$3:E3)</f>
        <v>55905.314139287562</v>
      </c>
      <c r="I3" s="5">
        <v>1</v>
      </c>
      <c r="J3" s="11"/>
      <c r="K3" s="4" t="s">
        <v>25</v>
      </c>
      <c r="L3" s="12">
        <f>'www.NadlanUSA.co.il'!K11</f>
        <v>56014.400000000001</v>
      </c>
    </row>
    <row r="4" spans="1:16">
      <c r="A4" s="13">
        <f t="shared" ref="A4:A67" si="5">+EDATE(A3,1)</f>
        <v>42401</v>
      </c>
      <c r="B4" s="5">
        <v>2</v>
      </c>
      <c r="C4" s="5">
        <f t="shared" si="0"/>
        <v>2</v>
      </c>
      <c r="D4" s="8">
        <f t="shared" si="1"/>
        <v>56014.400000000001</v>
      </c>
      <c r="E4" s="9">
        <f t="shared" si="2"/>
        <v>109.29039670127221</v>
      </c>
      <c r="F4" s="9">
        <f t="shared" si="3"/>
        <v>104.82246401116419</v>
      </c>
      <c r="G4" s="9">
        <f t="shared" si="4"/>
        <v>214.1128607124364</v>
      </c>
      <c r="H4" s="10">
        <f>D4-SUM($E$3:E4)</f>
        <v>55796.023742586294</v>
      </c>
      <c r="I4" s="5">
        <v>1</v>
      </c>
      <c r="K4" s="4" t="s">
        <v>26</v>
      </c>
      <c r="L4" s="14">
        <f>'www.NadlanUSA.co.il'!L67</f>
        <v>2.2499999999999999E-2</v>
      </c>
      <c r="M4" s="11"/>
    </row>
    <row r="5" spans="1:16">
      <c r="A5" s="13">
        <f t="shared" si="5"/>
        <v>42430</v>
      </c>
      <c r="B5" s="5">
        <v>3</v>
      </c>
      <c r="C5" s="5">
        <f t="shared" si="0"/>
        <v>3</v>
      </c>
      <c r="D5" s="8">
        <f t="shared" si="1"/>
        <v>56014.400000000001</v>
      </c>
      <c r="E5" s="9">
        <f t="shared" si="2"/>
        <v>109.49531619508711</v>
      </c>
      <c r="F5" s="9">
        <f t="shared" si="3"/>
        <v>104.6175445173493</v>
      </c>
      <c r="G5" s="9">
        <f t="shared" si="4"/>
        <v>214.11286071243643</v>
      </c>
      <c r="H5" s="10">
        <f>D5-SUM($E$3:E5)</f>
        <v>55686.528426391204</v>
      </c>
      <c r="I5" s="5">
        <v>1</v>
      </c>
      <c r="K5" s="4" t="s">
        <v>27</v>
      </c>
      <c r="L5" s="15">
        <f>'www.NadlanUSA.co.il'!L66</f>
        <v>30</v>
      </c>
      <c r="M5" s="4" t="s">
        <v>28</v>
      </c>
    </row>
    <row r="6" spans="1:16">
      <c r="A6" s="13">
        <f t="shared" si="5"/>
        <v>42461</v>
      </c>
      <c r="B6" s="5">
        <v>4</v>
      </c>
      <c r="C6" s="5">
        <f t="shared" si="0"/>
        <v>4</v>
      </c>
      <c r="D6" s="8">
        <f t="shared" si="1"/>
        <v>56014.400000000001</v>
      </c>
      <c r="E6" s="9">
        <f t="shared" si="2"/>
        <v>109.7006199129529</v>
      </c>
      <c r="F6" s="9">
        <f t="shared" si="3"/>
        <v>104.4122407994835</v>
      </c>
      <c r="G6" s="9">
        <f t="shared" si="4"/>
        <v>214.1128607124364</v>
      </c>
      <c r="H6" s="10">
        <f>D6-SUM($E$3:E6)</f>
        <v>55576.82780647825</v>
      </c>
      <c r="I6" s="5">
        <v>1</v>
      </c>
      <c r="K6" s="4" t="s">
        <v>29</v>
      </c>
      <c r="L6" s="16">
        <f>PMT(L4/12,L5*12,-1,0)*12</f>
        <v>4.5869532272937621E-2</v>
      </c>
    </row>
    <row r="7" spans="1:16">
      <c r="A7" s="13">
        <f t="shared" si="5"/>
        <v>42491</v>
      </c>
      <c r="B7" s="5">
        <v>5</v>
      </c>
      <c r="C7" s="5">
        <f t="shared" si="0"/>
        <v>5</v>
      </c>
      <c r="D7" s="8">
        <f t="shared" si="1"/>
        <v>56014.400000000001</v>
      </c>
      <c r="E7" s="9">
        <f t="shared" si="2"/>
        <v>109.90630857528969</v>
      </c>
      <c r="F7" s="9">
        <f t="shared" si="3"/>
        <v>104.20655213714673</v>
      </c>
      <c r="G7" s="9">
        <f t="shared" si="4"/>
        <v>214.11286071243643</v>
      </c>
      <c r="H7" s="10">
        <f>D7-SUM($E$3:E7)</f>
        <v>55466.921497902964</v>
      </c>
      <c r="I7" s="5">
        <v>1</v>
      </c>
      <c r="K7" s="4" t="s">
        <v>30</v>
      </c>
      <c r="L7" s="17">
        <v>0</v>
      </c>
      <c r="M7" s="4" t="s">
        <v>28</v>
      </c>
      <c r="O7" s="4">
        <f>L7*12</f>
        <v>0</v>
      </c>
      <c r="P7" s="4" t="s">
        <v>31</v>
      </c>
    </row>
    <row r="8" spans="1:16">
      <c r="A8" s="13">
        <f t="shared" si="5"/>
        <v>42522</v>
      </c>
      <c r="B8" s="5">
        <v>6</v>
      </c>
      <c r="C8" s="5">
        <f t="shared" si="0"/>
        <v>6</v>
      </c>
      <c r="D8" s="8">
        <f t="shared" si="1"/>
        <v>56014.400000000001</v>
      </c>
      <c r="E8" s="9">
        <f t="shared" si="2"/>
        <v>110.11238290386835</v>
      </c>
      <c r="F8" s="9">
        <f t="shared" si="3"/>
        <v>104.00047780856805</v>
      </c>
      <c r="G8" s="9">
        <f t="shared" si="4"/>
        <v>214.1128607124364</v>
      </c>
      <c r="H8" s="10">
        <f>D8-SUM($E$3:E8)</f>
        <v>55356.809114999094</v>
      </c>
      <c r="I8" s="5">
        <v>1</v>
      </c>
    </row>
    <row r="9" spans="1:16">
      <c r="A9" s="13">
        <f t="shared" si="5"/>
        <v>42552</v>
      </c>
      <c r="B9" s="5">
        <v>7</v>
      </c>
      <c r="C9" s="5">
        <f t="shared" si="0"/>
        <v>7</v>
      </c>
      <c r="D9" s="8">
        <f t="shared" si="1"/>
        <v>56014.400000000001</v>
      </c>
      <c r="E9" s="9">
        <f t="shared" si="2"/>
        <v>110.31884362181312</v>
      </c>
      <c r="F9" s="9">
        <f t="shared" si="3"/>
        <v>103.79401709062331</v>
      </c>
      <c r="G9" s="9">
        <f t="shared" si="4"/>
        <v>214.11286071243643</v>
      </c>
      <c r="H9" s="10">
        <f>D9-SUM($E$3:E9)</f>
        <v>55246.490271377283</v>
      </c>
      <c r="I9" s="5">
        <v>1</v>
      </c>
    </row>
    <row r="10" spans="1:16">
      <c r="A10" s="13">
        <f t="shared" si="5"/>
        <v>42583</v>
      </c>
      <c r="B10" s="5">
        <v>8</v>
      </c>
      <c r="C10" s="5">
        <f t="shared" si="0"/>
        <v>8</v>
      </c>
      <c r="D10" s="8">
        <f t="shared" si="1"/>
        <v>56014.400000000001</v>
      </c>
      <c r="E10" s="9">
        <f t="shared" si="2"/>
        <v>110.52569145360401</v>
      </c>
      <c r="F10" s="9">
        <f t="shared" si="3"/>
        <v>103.58716925883239</v>
      </c>
      <c r="G10" s="9">
        <f t="shared" si="4"/>
        <v>214.1128607124364</v>
      </c>
      <c r="H10" s="10">
        <f>D10-SUM($E$3:E10)</f>
        <v>55135.964579923675</v>
      </c>
      <c r="I10" s="5">
        <v>1</v>
      </c>
    </row>
    <row r="11" spans="1:16">
      <c r="A11" s="13">
        <f t="shared" si="5"/>
        <v>42614</v>
      </c>
      <c r="B11" s="5">
        <v>9</v>
      </c>
      <c r="C11" s="5">
        <f t="shared" si="0"/>
        <v>9</v>
      </c>
      <c r="D11" s="8">
        <f t="shared" si="1"/>
        <v>56014.400000000001</v>
      </c>
      <c r="E11" s="9">
        <f t="shared" si="2"/>
        <v>110.73292712507953</v>
      </c>
      <c r="F11" s="9">
        <f t="shared" si="3"/>
        <v>103.3799335873569</v>
      </c>
      <c r="G11" s="9">
        <f t="shared" si="4"/>
        <v>214.11286071243643</v>
      </c>
      <c r="H11" s="10">
        <f>D11-SUM($E$3:E11)</f>
        <v>55025.231652798597</v>
      </c>
      <c r="I11" s="5">
        <v>1</v>
      </c>
    </row>
    <row r="12" spans="1:16">
      <c r="A12" s="13">
        <f t="shared" si="5"/>
        <v>42644</v>
      </c>
      <c r="B12" s="5">
        <v>10</v>
      </c>
      <c r="C12" s="5">
        <f t="shared" si="0"/>
        <v>10</v>
      </c>
      <c r="D12" s="8">
        <f t="shared" si="1"/>
        <v>56014.400000000001</v>
      </c>
      <c r="E12" s="9">
        <f t="shared" si="2"/>
        <v>110.94055136343906</v>
      </c>
      <c r="F12" s="9">
        <f t="shared" si="3"/>
        <v>103.17230934899736</v>
      </c>
      <c r="G12" s="9">
        <f t="shared" si="4"/>
        <v>214.11286071243643</v>
      </c>
      <c r="H12" s="10">
        <f>D12-SUM($E$3:E12)</f>
        <v>54914.291101435156</v>
      </c>
      <c r="I12" s="5">
        <v>1</v>
      </c>
      <c r="K12" s="18"/>
    </row>
    <row r="13" spans="1:16">
      <c r="A13" s="13">
        <f t="shared" si="5"/>
        <v>42675</v>
      </c>
      <c r="B13" s="5">
        <v>11</v>
      </c>
      <c r="C13" s="5">
        <f t="shared" si="0"/>
        <v>11</v>
      </c>
      <c r="D13" s="8">
        <f t="shared" si="1"/>
        <v>56014.400000000001</v>
      </c>
      <c r="E13" s="9">
        <f t="shared" si="2"/>
        <v>111.14856489724549</v>
      </c>
      <c r="F13" s="9">
        <f t="shared" si="3"/>
        <v>102.96429581519094</v>
      </c>
      <c r="G13" s="9">
        <f t="shared" si="4"/>
        <v>214.11286071243643</v>
      </c>
      <c r="H13" s="10">
        <f>D13-SUM($E$3:E13)</f>
        <v>54803.142536537911</v>
      </c>
      <c r="I13" s="5">
        <v>1</v>
      </c>
      <c r="K13" s="4" t="s">
        <v>32</v>
      </c>
      <c r="L13" s="4" t="s">
        <v>33</v>
      </c>
    </row>
    <row r="14" spans="1:16">
      <c r="A14" s="13">
        <f t="shared" si="5"/>
        <v>42705</v>
      </c>
      <c r="B14" s="5">
        <v>12</v>
      </c>
      <c r="C14" s="5">
        <f t="shared" si="0"/>
        <v>12</v>
      </c>
      <c r="D14" s="8">
        <f t="shared" si="1"/>
        <v>56014.400000000001</v>
      </c>
      <c r="E14" s="9">
        <f t="shared" si="2"/>
        <v>111.35696845642782</v>
      </c>
      <c r="F14" s="9">
        <f t="shared" si="3"/>
        <v>102.75589225600861</v>
      </c>
      <c r="G14" s="9">
        <f t="shared" si="4"/>
        <v>214.11286071243643</v>
      </c>
      <c r="H14" s="10">
        <f>D14-SUM($E$3:E14)</f>
        <v>54691.785568081483</v>
      </c>
      <c r="I14" s="5">
        <v>1</v>
      </c>
      <c r="J14" s="19" t="s">
        <v>34</v>
      </c>
      <c r="K14" s="19">
        <f>SUM(E3:E14)</f>
        <v>1322.6144319185159</v>
      </c>
      <c r="L14" s="19">
        <f>SUM(G3:G14)</f>
        <v>2569.3543285492374</v>
      </c>
    </row>
    <row r="15" spans="1:16">
      <c r="A15" s="13">
        <f t="shared" si="5"/>
        <v>42736</v>
      </c>
      <c r="B15" s="5">
        <v>13</v>
      </c>
      <c r="C15" s="5">
        <f t="shared" si="0"/>
        <v>13</v>
      </c>
      <c r="D15" s="8">
        <f t="shared" si="1"/>
        <v>56014.400000000001</v>
      </c>
      <c r="E15" s="9">
        <f t="shared" si="2"/>
        <v>111.56576277228362</v>
      </c>
      <c r="F15" s="9">
        <f t="shared" si="3"/>
        <v>102.54709794015281</v>
      </c>
      <c r="G15" s="9">
        <f t="shared" si="4"/>
        <v>214.11286071243643</v>
      </c>
      <c r="H15" s="10">
        <f>D15-SUM($E$3:E15)</f>
        <v>54580.2198053092</v>
      </c>
      <c r="I15" s="5">
        <v>2</v>
      </c>
    </row>
    <row r="16" spans="1:16">
      <c r="A16" s="13">
        <f t="shared" si="5"/>
        <v>42767</v>
      </c>
      <c r="B16" s="5">
        <v>14</v>
      </c>
      <c r="C16" s="5">
        <f t="shared" si="0"/>
        <v>14</v>
      </c>
      <c r="D16" s="8">
        <f t="shared" si="1"/>
        <v>56014.400000000001</v>
      </c>
      <c r="E16" s="9">
        <f t="shared" si="2"/>
        <v>111.77494857748165</v>
      </c>
      <c r="F16" s="9">
        <f t="shared" si="3"/>
        <v>102.33791213495478</v>
      </c>
      <c r="G16" s="9">
        <f t="shared" si="4"/>
        <v>214.11286071243643</v>
      </c>
      <c r="H16" s="10">
        <f>D16-SUM($E$3:E16)</f>
        <v>54468.444856731723</v>
      </c>
      <c r="I16" s="5">
        <v>2</v>
      </c>
    </row>
    <row r="17" spans="1:12">
      <c r="A17" s="13">
        <f t="shared" si="5"/>
        <v>42795</v>
      </c>
      <c r="B17" s="5">
        <v>15</v>
      </c>
      <c r="C17" s="5">
        <f t="shared" si="0"/>
        <v>15</v>
      </c>
      <c r="D17" s="8">
        <f t="shared" si="1"/>
        <v>56014.400000000001</v>
      </c>
      <c r="E17" s="9">
        <f t="shared" si="2"/>
        <v>111.98452660606443</v>
      </c>
      <c r="F17" s="9">
        <f t="shared" si="3"/>
        <v>102.12833410637199</v>
      </c>
      <c r="G17" s="9">
        <f t="shared" si="4"/>
        <v>214.11286071243643</v>
      </c>
      <c r="H17" s="10">
        <f>D17-SUM($E$3:E17)</f>
        <v>54356.460330125657</v>
      </c>
      <c r="I17" s="5">
        <v>2</v>
      </c>
    </row>
    <row r="18" spans="1:12">
      <c r="A18" s="13">
        <f t="shared" si="5"/>
        <v>42826</v>
      </c>
      <c r="B18" s="5">
        <v>16</v>
      </c>
      <c r="C18" s="5">
        <f t="shared" si="0"/>
        <v>16</v>
      </c>
      <c r="D18" s="8">
        <f t="shared" si="1"/>
        <v>56014.400000000001</v>
      </c>
      <c r="E18" s="9">
        <f t="shared" si="2"/>
        <v>112.19449759345082</v>
      </c>
      <c r="F18" s="9">
        <f t="shared" si="3"/>
        <v>101.91836311898562</v>
      </c>
      <c r="G18" s="9">
        <f t="shared" si="4"/>
        <v>214.11286071243643</v>
      </c>
      <c r="H18" s="10">
        <f>D18-SUM($E$3:E18)</f>
        <v>54244.265832532205</v>
      </c>
      <c r="I18" s="5">
        <v>2</v>
      </c>
    </row>
    <row r="19" spans="1:12">
      <c r="A19" s="20">
        <f t="shared" si="5"/>
        <v>42856</v>
      </c>
      <c r="B19" s="21">
        <v>17</v>
      </c>
      <c r="C19" s="21">
        <f t="shared" si="0"/>
        <v>17</v>
      </c>
      <c r="D19" s="8">
        <f t="shared" si="1"/>
        <v>56014.400000000001</v>
      </c>
      <c r="E19" s="22">
        <f t="shared" si="2"/>
        <v>112.40486227643854</v>
      </c>
      <c r="F19" s="22">
        <f t="shared" si="3"/>
        <v>101.70799843599788</v>
      </c>
      <c r="G19" s="22">
        <f t="shared" si="4"/>
        <v>214.11286071243643</v>
      </c>
      <c r="H19" s="8">
        <f>D19-SUM($E$3:E19)</f>
        <v>54131.860970255766</v>
      </c>
      <c r="I19" s="21">
        <v>2</v>
      </c>
      <c r="L19" s="23"/>
    </row>
    <row r="20" spans="1:12">
      <c r="A20" s="24">
        <f t="shared" si="5"/>
        <v>42887</v>
      </c>
      <c r="B20" s="25">
        <v>18</v>
      </c>
      <c r="C20" s="25">
        <f t="shared" si="0"/>
        <v>18</v>
      </c>
      <c r="D20" s="26">
        <f t="shared" si="1"/>
        <v>56014.400000000001</v>
      </c>
      <c r="E20" s="27">
        <f t="shared" si="2"/>
        <v>112.61562139320685</v>
      </c>
      <c r="F20" s="27">
        <f t="shared" si="3"/>
        <v>101.49723931922958</v>
      </c>
      <c r="G20" s="27">
        <f t="shared" si="4"/>
        <v>214.11286071243643</v>
      </c>
      <c r="H20" s="26">
        <f>D20-SUM($E$3:E20)</f>
        <v>54019.245348862562</v>
      </c>
      <c r="I20" s="25">
        <v>2</v>
      </c>
      <c r="J20" s="28"/>
      <c r="K20" s="28"/>
    </row>
    <row r="21" spans="1:12">
      <c r="A21" s="24">
        <f t="shared" si="5"/>
        <v>42917</v>
      </c>
      <c r="B21" s="25">
        <v>19</v>
      </c>
      <c r="C21" s="25">
        <f t="shared" si="0"/>
        <v>19</v>
      </c>
      <c r="D21" s="26">
        <f t="shared" si="1"/>
        <v>56014.400000000001</v>
      </c>
      <c r="E21" s="27">
        <f t="shared" si="2"/>
        <v>112.82677568331913</v>
      </c>
      <c r="F21" s="27">
        <f t="shared" si="3"/>
        <v>101.28608502911732</v>
      </c>
      <c r="G21" s="27">
        <f t="shared" si="4"/>
        <v>214.11286071243643</v>
      </c>
      <c r="H21" s="26">
        <f>D21-SUM($E$3:E21)</f>
        <v>53906.418573179239</v>
      </c>
      <c r="I21" s="25">
        <v>2</v>
      </c>
      <c r="J21" s="29"/>
      <c r="K21" s="29"/>
    </row>
    <row r="22" spans="1:12">
      <c r="A22" s="13">
        <f t="shared" si="5"/>
        <v>42948</v>
      </c>
      <c r="B22" s="5">
        <v>20</v>
      </c>
      <c r="C22" s="5">
        <f t="shared" si="0"/>
        <v>20</v>
      </c>
      <c r="D22" s="8">
        <f t="shared" si="1"/>
        <v>56014.400000000001</v>
      </c>
      <c r="E22" s="22">
        <f t="shared" si="2"/>
        <v>113.03832588772532</v>
      </c>
      <c r="F22" s="9">
        <f t="shared" si="3"/>
        <v>101.07453482471111</v>
      </c>
      <c r="G22" s="9">
        <f t="shared" si="4"/>
        <v>214.11286071243643</v>
      </c>
      <c r="H22" s="10">
        <f>D22-SUM($E$3:E22)</f>
        <v>53793.380247291512</v>
      </c>
      <c r="I22" s="5">
        <v>2</v>
      </c>
      <c r="K22" s="10"/>
    </row>
    <row r="23" spans="1:12">
      <c r="A23" s="13">
        <f t="shared" si="5"/>
        <v>42979</v>
      </c>
      <c r="B23" s="5">
        <v>21</v>
      </c>
      <c r="C23" s="5">
        <f t="shared" si="0"/>
        <v>21</v>
      </c>
      <c r="D23" s="8">
        <f t="shared" si="1"/>
        <v>56014.400000000001</v>
      </c>
      <c r="E23" s="22">
        <f t="shared" si="2"/>
        <v>113.25027274876483</v>
      </c>
      <c r="F23" s="9">
        <f t="shared" si="3"/>
        <v>100.86258796367163</v>
      </c>
      <c r="G23" s="9">
        <f t="shared" si="4"/>
        <v>214.11286071243646</v>
      </c>
      <c r="H23" s="10">
        <f>D23-SUM($E$3:E23)</f>
        <v>53680.129974542753</v>
      </c>
      <c r="I23" s="5">
        <v>2</v>
      </c>
      <c r="K23" s="10"/>
    </row>
    <row r="24" spans="1:12">
      <c r="A24" s="13">
        <f t="shared" si="5"/>
        <v>43009</v>
      </c>
      <c r="B24" s="5">
        <v>22</v>
      </c>
      <c r="C24" s="5">
        <f t="shared" si="0"/>
        <v>22</v>
      </c>
      <c r="D24" s="8">
        <f t="shared" si="1"/>
        <v>56014.400000000001</v>
      </c>
      <c r="E24" s="22">
        <f t="shared" si="2"/>
        <v>113.46261701016876</v>
      </c>
      <c r="F24" s="9">
        <f t="shared" si="3"/>
        <v>100.65024370226767</v>
      </c>
      <c r="G24" s="9">
        <f t="shared" si="4"/>
        <v>214.11286071243643</v>
      </c>
      <c r="H24" s="10">
        <f>D24-SUM($E$3:E24)</f>
        <v>53566.667357532584</v>
      </c>
      <c r="I24" s="5">
        <v>2</v>
      </c>
      <c r="K24" s="10"/>
    </row>
    <row r="25" spans="1:12">
      <c r="A25" s="13">
        <f t="shared" si="5"/>
        <v>43040</v>
      </c>
      <c r="B25" s="5">
        <v>23</v>
      </c>
      <c r="C25" s="5">
        <f t="shared" si="0"/>
        <v>23</v>
      </c>
      <c r="D25" s="8">
        <f t="shared" si="1"/>
        <v>56014.400000000001</v>
      </c>
      <c r="E25" s="22">
        <f t="shared" si="2"/>
        <v>113.67535941706284</v>
      </c>
      <c r="F25" s="9">
        <f t="shared" si="3"/>
        <v>100.43750129537359</v>
      </c>
      <c r="G25" s="9">
        <f t="shared" si="4"/>
        <v>214.11286071243643</v>
      </c>
      <c r="H25" s="10">
        <f>D25-SUM($E$3:E25)</f>
        <v>53452.991998115518</v>
      </c>
      <c r="I25" s="5">
        <v>2</v>
      </c>
      <c r="K25" s="10" t="s">
        <v>32</v>
      </c>
      <c r="L25" s="4" t="s">
        <v>33</v>
      </c>
    </row>
    <row r="26" spans="1:12">
      <c r="A26" s="13">
        <f t="shared" si="5"/>
        <v>43070</v>
      </c>
      <c r="B26" s="5">
        <v>24</v>
      </c>
      <c r="C26" s="5">
        <f t="shared" si="0"/>
        <v>24</v>
      </c>
      <c r="D26" s="8">
        <f t="shared" si="1"/>
        <v>56014.400000000001</v>
      </c>
      <c r="E26" s="22">
        <f t="shared" si="2"/>
        <v>113.88850071596981</v>
      </c>
      <c r="F26" s="9">
        <f t="shared" si="3"/>
        <v>100.2243599964666</v>
      </c>
      <c r="G26" s="9">
        <f t="shared" si="4"/>
        <v>214.11286071243643</v>
      </c>
      <c r="H26" s="10">
        <f>D26-SUM($E$3:E26)</f>
        <v>53339.103497399548</v>
      </c>
      <c r="I26" s="5">
        <v>2</v>
      </c>
      <c r="J26" s="30" t="s">
        <v>35</v>
      </c>
      <c r="K26" s="31">
        <f>SUM(E15:E26)</f>
        <v>1352.6820706819365</v>
      </c>
      <c r="L26" s="31">
        <f>SUM(G15:G26)</f>
        <v>2569.3543285492374</v>
      </c>
    </row>
    <row r="27" spans="1:12">
      <c r="A27" s="13">
        <f t="shared" si="5"/>
        <v>43101</v>
      </c>
      <c r="B27" s="5">
        <v>25</v>
      </c>
      <c r="C27" s="5">
        <f t="shared" si="0"/>
        <v>25</v>
      </c>
      <c r="D27" s="8">
        <f t="shared" si="1"/>
        <v>56014.400000000001</v>
      </c>
      <c r="E27" s="22">
        <f t="shared" si="2"/>
        <v>114.10204165481225</v>
      </c>
      <c r="F27" s="9">
        <f t="shared" si="3"/>
        <v>100.01081905762415</v>
      </c>
      <c r="G27" s="9">
        <f t="shared" si="4"/>
        <v>214.1128607124364</v>
      </c>
      <c r="H27" s="10">
        <f>D27-SUM($E$3:E27)</f>
        <v>53225.001455744736</v>
      </c>
      <c r="I27" s="5">
        <v>3</v>
      </c>
      <c r="K27" s="10"/>
    </row>
    <row r="28" spans="1:12">
      <c r="A28" s="13">
        <f t="shared" si="5"/>
        <v>43132</v>
      </c>
      <c r="B28" s="5">
        <v>26</v>
      </c>
      <c r="C28" s="5">
        <f t="shared" si="0"/>
        <v>26</v>
      </c>
      <c r="D28" s="8">
        <f t="shared" si="1"/>
        <v>56014.400000000001</v>
      </c>
      <c r="E28" s="22">
        <f t="shared" si="2"/>
        <v>114.31598298291503</v>
      </c>
      <c r="F28" s="9">
        <f t="shared" si="3"/>
        <v>99.796877729521398</v>
      </c>
      <c r="G28" s="9">
        <f t="shared" si="4"/>
        <v>214.11286071243643</v>
      </c>
      <c r="H28" s="10">
        <f>D28-SUM($E$3:E28)</f>
        <v>53110.685472761819</v>
      </c>
      <c r="I28" s="5">
        <v>3</v>
      </c>
      <c r="K28" s="10"/>
    </row>
    <row r="29" spans="1:12">
      <c r="A29" s="13">
        <f t="shared" si="5"/>
        <v>43160</v>
      </c>
      <c r="B29" s="5">
        <v>27</v>
      </c>
      <c r="C29" s="5">
        <f t="shared" si="0"/>
        <v>27</v>
      </c>
      <c r="D29" s="8">
        <f t="shared" si="1"/>
        <v>56014.400000000001</v>
      </c>
      <c r="E29" s="22">
        <f t="shared" si="2"/>
        <v>114.53032545100798</v>
      </c>
      <c r="F29" s="9">
        <f t="shared" si="3"/>
        <v>99.582535261428418</v>
      </c>
      <c r="G29" s="9">
        <f t="shared" si="4"/>
        <v>214.1128607124364</v>
      </c>
      <c r="H29" s="10">
        <f>D29-SUM($E$3:E29)</f>
        <v>52996.155147310812</v>
      </c>
      <c r="I29" s="5">
        <v>3</v>
      </c>
      <c r="K29" s="10"/>
    </row>
    <row r="30" spans="1:12">
      <c r="A30" s="13">
        <f t="shared" si="5"/>
        <v>43191</v>
      </c>
      <c r="B30" s="5">
        <v>28</v>
      </c>
      <c r="C30" s="5">
        <f t="shared" si="0"/>
        <v>28</v>
      </c>
      <c r="D30" s="8">
        <f t="shared" si="1"/>
        <v>56014.400000000001</v>
      </c>
      <c r="E30" s="22">
        <f t="shared" si="2"/>
        <v>114.74506981122863</v>
      </c>
      <c r="F30" s="9">
        <f t="shared" si="3"/>
        <v>99.367790901207798</v>
      </c>
      <c r="G30" s="9">
        <f t="shared" si="4"/>
        <v>214.11286071243643</v>
      </c>
      <c r="H30" s="10">
        <f>D30-SUM($E$3:E30)</f>
        <v>52881.410077499582</v>
      </c>
      <c r="I30" s="5">
        <v>3</v>
      </c>
      <c r="K30" s="10"/>
    </row>
    <row r="31" spans="1:12">
      <c r="A31" s="13">
        <f t="shared" si="5"/>
        <v>43221</v>
      </c>
      <c r="B31" s="5">
        <v>29</v>
      </c>
      <c r="C31" s="5">
        <f t="shared" si="0"/>
        <v>29</v>
      </c>
      <c r="D31" s="8">
        <f t="shared" si="1"/>
        <v>56014.400000000001</v>
      </c>
      <c r="E31" s="22">
        <f t="shared" si="2"/>
        <v>114.96021681712469</v>
      </c>
      <c r="F31" s="9">
        <f t="shared" si="3"/>
        <v>99.152643895311712</v>
      </c>
      <c r="G31" s="9">
        <f t="shared" si="4"/>
        <v>214.1128607124364</v>
      </c>
      <c r="H31" s="10">
        <f>D31-SUM($E$3:E31)</f>
        <v>52766.449860682464</v>
      </c>
      <c r="I31" s="5">
        <v>3</v>
      </c>
      <c r="K31" s="10"/>
    </row>
    <row r="32" spans="1:12">
      <c r="A32" s="13">
        <f t="shared" si="5"/>
        <v>43252</v>
      </c>
      <c r="B32" s="5">
        <v>30</v>
      </c>
      <c r="C32" s="5">
        <f t="shared" si="0"/>
        <v>30</v>
      </c>
      <c r="D32" s="8">
        <f t="shared" si="1"/>
        <v>56014.400000000001</v>
      </c>
      <c r="E32" s="22">
        <f t="shared" si="2"/>
        <v>115.17576722365679</v>
      </c>
      <c r="F32" s="9">
        <f t="shared" si="3"/>
        <v>98.937093488779624</v>
      </c>
      <c r="G32" s="9">
        <f t="shared" si="4"/>
        <v>214.11286071243643</v>
      </c>
      <c r="H32" s="10">
        <f>D32-SUM($E$3:E32)</f>
        <v>52651.274093458807</v>
      </c>
      <c r="I32" s="5">
        <v>3</v>
      </c>
      <c r="K32" s="26"/>
    </row>
    <row r="33" spans="1:12">
      <c r="A33" s="13">
        <f t="shared" si="5"/>
        <v>43282</v>
      </c>
      <c r="B33" s="5">
        <v>31</v>
      </c>
      <c r="C33" s="5">
        <f t="shared" si="0"/>
        <v>31</v>
      </c>
      <c r="D33" s="8">
        <f t="shared" si="1"/>
        <v>56014.400000000001</v>
      </c>
      <c r="E33" s="9">
        <f t="shared" si="2"/>
        <v>115.39172178720116</v>
      </c>
      <c r="F33" s="9">
        <f t="shared" si="3"/>
        <v>98.721138925235294</v>
      </c>
      <c r="G33" s="9">
        <f t="shared" si="4"/>
        <v>214.11286071243646</v>
      </c>
      <c r="H33" s="10">
        <f>D33-SUM($E$3:E33)</f>
        <v>52535.8823716716</v>
      </c>
      <c r="I33" s="5">
        <v>3</v>
      </c>
      <c r="K33" s="10"/>
    </row>
    <row r="34" spans="1:12">
      <c r="A34" s="13">
        <f t="shared" si="5"/>
        <v>43313</v>
      </c>
      <c r="B34" s="5">
        <v>32</v>
      </c>
      <c r="C34" s="5">
        <f t="shared" si="0"/>
        <v>32</v>
      </c>
      <c r="D34" s="8">
        <f t="shared" si="1"/>
        <v>56014.400000000001</v>
      </c>
      <c r="E34" s="9">
        <f t="shared" si="2"/>
        <v>115.60808126555214</v>
      </c>
      <c r="F34" s="9">
        <f t="shared" si="3"/>
        <v>98.504779446884271</v>
      </c>
      <c r="G34" s="9">
        <f t="shared" si="4"/>
        <v>214.11286071243643</v>
      </c>
      <c r="H34" s="10">
        <f>D34-SUM($E$3:E34)</f>
        <v>52420.274290406051</v>
      </c>
      <c r="I34" s="5">
        <v>3</v>
      </c>
      <c r="K34" s="10"/>
    </row>
    <row r="35" spans="1:12">
      <c r="A35" s="13">
        <f t="shared" si="5"/>
        <v>43344</v>
      </c>
      <c r="B35" s="5">
        <v>33</v>
      </c>
      <c r="C35" s="5">
        <f t="shared" si="0"/>
        <v>33</v>
      </c>
      <c r="D35" s="8">
        <f t="shared" si="1"/>
        <v>56014.400000000001</v>
      </c>
      <c r="E35" s="9">
        <f t="shared" si="2"/>
        <v>115.82484641792506</v>
      </c>
      <c r="F35" s="9">
        <f t="shared" si="3"/>
        <v>98.288014294511356</v>
      </c>
      <c r="G35" s="9">
        <f t="shared" si="4"/>
        <v>214.11286071243643</v>
      </c>
      <c r="H35" s="10">
        <f>D35-SUM($E$3:E35)</f>
        <v>52304.449443988124</v>
      </c>
      <c r="I35" s="5">
        <v>3</v>
      </c>
      <c r="K35" s="10"/>
    </row>
    <row r="36" spans="1:12">
      <c r="A36" s="13">
        <f t="shared" si="5"/>
        <v>43374</v>
      </c>
      <c r="B36" s="5">
        <v>34</v>
      </c>
      <c r="C36" s="5">
        <f t="shared" si="0"/>
        <v>34</v>
      </c>
      <c r="D36" s="8">
        <f t="shared" si="1"/>
        <v>56014.400000000001</v>
      </c>
      <c r="E36" s="9">
        <f t="shared" si="2"/>
        <v>116.04201800495868</v>
      </c>
      <c r="F36" s="9">
        <f t="shared" si="3"/>
        <v>98.070842707477738</v>
      </c>
      <c r="G36" s="9">
        <f t="shared" si="4"/>
        <v>214.11286071243643</v>
      </c>
      <c r="H36" s="10">
        <f>D36-SUM($E$3:E36)</f>
        <v>52188.407425983169</v>
      </c>
      <c r="I36" s="5">
        <v>3</v>
      </c>
      <c r="K36" s="10"/>
    </row>
    <row r="37" spans="1:12">
      <c r="A37" s="13">
        <f t="shared" si="5"/>
        <v>43405</v>
      </c>
      <c r="B37" s="5">
        <v>35</v>
      </c>
      <c r="C37" s="5">
        <f t="shared" si="0"/>
        <v>35</v>
      </c>
      <c r="D37" s="8">
        <f t="shared" si="1"/>
        <v>56014.400000000001</v>
      </c>
      <c r="E37" s="9">
        <f t="shared" si="2"/>
        <v>116.25959678871799</v>
      </c>
      <c r="F37" s="9">
        <f t="shared" si="3"/>
        <v>97.853263923718458</v>
      </c>
      <c r="G37" s="9">
        <f t="shared" si="4"/>
        <v>214.11286071243643</v>
      </c>
      <c r="H37" s="10">
        <f>D37-SUM($E$3:E37)</f>
        <v>52072.147829194451</v>
      </c>
      <c r="I37" s="5">
        <v>3</v>
      </c>
      <c r="K37" s="10" t="s">
        <v>32</v>
      </c>
      <c r="L37" s="4" t="s">
        <v>33</v>
      </c>
    </row>
    <row r="38" spans="1:12">
      <c r="A38" s="13">
        <f t="shared" si="5"/>
        <v>43435</v>
      </c>
      <c r="B38" s="5">
        <v>36</v>
      </c>
      <c r="C38" s="5">
        <f t="shared" si="0"/>
        <v>36</v>
      </c>
      <c r="D38" s="8">
        <f t="shared" si="1"/>
        <v>56014.400000000001</v>
      </c>
      <c r="E38" s="9">
        <f t="shared" si="2"/>
        <v>116.47758353269683</v>
      </c>
      <c r="F38" s="9">
        <f t="shared" si="3"/>
        <v>97.635277179739589</v>
      </c>
      <c r="G38" s="9">
        <f t="shared" si="4"/>
        <v>214.11286071243643</v>
      </c>
      <c r="H38" s="10">
        <f>D38-SUM($E$3:E38)</f>
        <v>51955.67024566175</v>
      </c>
      <c r="I38" s="5">
        <v>3</v>
      </c>
      <c r="J38" s="30" t="s">
        <v>36</v>
      </c>
      <c r="K38" s="31">
        <f>SUM(E27:E38)</f>
        <v>1383.4332517377973</v>
      </c>
      <c r="L38" s="31">
        <f>SUM(G27:G38)</f>
        <v>2569.3543285492374</v>
      </c>
    </row>
    <row r="39" spans="1:12">
      <c r="A39" s="13">
        <f t="shared" si="5"/>
        <v>43466</v>
      </c>
      <c r="B39" s="5">
        <v>37</v>
      </c>
      <c r="C39" s="5">
        <f t="shared" si="0"/>
        <v>37</v>
      </c>
      <c r="D39" s="8">
        <f t="shared" si="1"/>
        <v>56014.400000000001</v>
      </c>
      <c r="E39" s="9">
        <f t="shared" si="2"/>
        <v>116.69597900182063</v>
      </c>
      <c r="F39" s="9">
        <f t="shared" si="3"/>
        <v>97.416881710615797</v>
      </c>
      <c r="G39" s="9">
        <f t="shared" si="4"/>
        <v>214.11286071243643</v>
      </c>
      <c r="H39" s="10">
        <f>D39-SUM($E$3:E39)</f>
        <v>51838.974266659934</v>
      </c>
      <c r="I39" s="5">
        <v>4</v>
      </c>
      <c r="K39" s="10"/>
    </row>
    <row r="40" spans="1:12">
      <c r="A40" s="13">
        <f t="shared" si="5"/>
        <v>43497</v>
      </c>
      <c r="B40" s="5">
        <v>38</v>
      </c>
      <c r="C40" s="5">
        <f t="shared" si="0"/>
        <v>38</v>
      </c>
      <c r="D40" s="8">
        <f t="shared" si="1"/>
        <v>56014.400000000001</v>
      </c>
      <c r="E40" s="9">
        <f t="shared" si="2"/>
        <v>116.91478396244904</v>
      </c>
      <c r="F40" s="9">
        <f t="shared" si="3"/>
        <v>97.198076749987365</v>
      </c>
      <c r="G40" s="9">
        <f t="shared" si="4"/>
        <v>214.1128607124364</v>
      </c>
      <c r="H40" s="10">
        <f>D40-SUM($E$3:E40)</f>
        <v>51722.059482697485</v>
      </c>
      <c r="I40" s="5">
        <v>4</v>
      </c>
      <c r="K40" s="10"/>
    </row>
    <row r="41" spans="1:12">
      <c r="A41" s="13">
        <f t="shared" si="5"/>
        <v>43525</v>
      </c>
      <c r="B41" s="5">
        <v>39</v>
      </c>
      <c r="C41" s="5">
        <f t="shared" si="0"/>
        <v>39</v>
      </c>
      <c r="D41" s="8">
        <f t="shared" si="1"/>
        <v>56014.400000000001</v>
      </c>
      <c r="E41" s="9">
        <f t="shared" si="2"/>
        <v>117.13399918237863</v>
      </c>
      <c r="F41" s="9">
        <f t="shared" si="3"/>
        <v>96.978861530057785</v>
      </c>
      <c r="G41" s="9">
        <f t="shared" si="4"/>
        <v>214.11286071243643</v>
      </c>
      <c r="H41" s="10">
        <f>D41-SUM($E$3:E41)</f>
        <v>51604.9254835151</v>
      </c>
      <c r="I41" s="5">
        <v>4</v>
      </c>
      <c r="K41" s="10"/>
    </row>
    <row r="42" spans="1:12">
      <c r="A42" s="13">
        <f t="shared" si="5"/>
        <v>43556</v>
      </c>
      <c r="B42" s="5">
        <v>40</v>
      </c>
      <c r="C42" s="5">
        <f t="shared" si="0"/>
        <v>40</v>
      </c>
      <c r="D42" s="8">
        <f t="shared" si="1"/>
        <v>56014.400000000001</v>
      </c>
      <c r="E42" s="9">
        <f t="shared" si="2"/>
        <v>117.3536254308456</v>
      </c>
      <c r="F42" s="9">
        <f t="shared" si="3"/>
        <v>96.759235281590819</v>
      </c>
      <c r="G42" s="9">
        <f t="shared" si="4"/>
        <v>214.11286071243643</v>
      </c>
      <c r="H42" s="10">
        <f>D42-SUM($E$3:E42)</f>
        <v>51487.571858084259</v>
      </c>
      <c r="I42" s="5">
        <v>4</v>
      </c>
      <c r="K42" s="10"/>
    </row>
    <row r="43" spans="1:12">
      <c r="A43" s="13">
        <f t="shared" si="5"/>
        <v>43586</v>
      </c>
      <c r="B43" s="5">
        <v>41</v>
      </c>
      <c r="C43" s="5">
        <f t="shared" si="0"/>
        <v>41</v>
      </c>
      <c r="D43" s="8">
        <f t="shared" si="1"/>
        <v>56014.400000000001</v>
      </c>
      <c r="E43" s="9">
        <f t="shared" si="2"/>
        <v>117.57366347852845</v>
      </c>
      <c r="F43" s="9">
        <f t="shared" si="3"/>
        <v>96.539197233907998</v>
      </c>
      <c r="G43" s="9">
        <f t="shared" si="4"/>
        <v>214.11286071243643</v>
      </c>
      <c r="H43" s="10">
        <f>D43-SUM($E$3:E43)</f>
        <v>51369.998194605731</v>
      </c>
      <c r="I43" s="5">
        <v>4</v>
      </c>
      <c r="K43" s="10"/>
    </row>
    <row r="44" spans="1:12">
      <c r="A44" s="13">
        <f t="shared" si="5"/>
        <v>43617</v>
      </c>
      <c r="B44" s="5">
        <v>42</v>
      </c>
      <c r="C44" s="5">
        <f t="shared" si="0"/>
        <v>42</v>
      </c>
      <c r="D44" s="8">
        <f t="shared" si="1"/>
        <v>56014.400000000001</v>
      </c>
      <c r="E44" s="9">
        <f t="shared" si="2"/>
        <v>117.79411409755068</v>
      </c>
      <c r="F44" s="9">
        <f t="shared" si="3"/>
        <v>96.318746614885725</v>
      </c>
      <c r="G44" s="9">
        <f t="shared" si="4"/>
        <v>214.1128607124364</v>
      </c>
      <c r="H44" s="10">
        <f>D44-SUM($E$3:E44)</f>
        <v>51252.204080508178</v>
      </c>
      <c r="I44" s="5">
        <v>4</v>
      </c>
      <c r="K44" s="26"/>
    </row>
    <row r="45" spans="1:12">
      <c r="A45" s="13">
        <f t="shared" si="5"/>
        <v>43647</v>
      </c>
      <c r="B45" s="5">
        <v>43</v>
      </c>
      <c r="C45" s="5">
        <f t="shared" si="0"/>
        <v>43</v>
      </c>
      <c r="D45" s="8">
        <f t="shared" si="1"/>
        <v>56014.400000000001</v>
      </c>
      <c r="E45" s="22">
        <f t="shared" si="2"/>
        <v>118.01497806148357</v>
      </c>
      <c r="F45" s="9">
        <f t="shared" si="3"/>
        <v>96.09788265095284</v>
      </c>
      <c r="G45" s="9">
        <f t="shared" si="4"/>
        <v>214.11286071243643</v>
      </c>
      <c r="H45" s="10">
        <f>D45-SUM($E$3:E45)</f>
        <v>51134.189102446697</v>
      </c>
      <c r="I45" s="5">
        <v>4</v>
      </c>
      <c r="K45" s="10"/>
    </row>
    <row r="46" spans="1:12">
      <c r="A46" s="13">
        <f t="shared" si="5"/>
        <v>43678</v>
      </c>
      <c r="B46" s="5">
        <v>44</v>
      </c>
      <c r="C46" s="5">
        <f t="shared" si="0"/>
        <v>44</v>
      </c>
      <c r="D46" s="8">
        <f t="shared" si="1"/>
        <v>56014.400000000001</v>
      </c>
      <c r="E46" s="22">
        <f t="shared" si="2"/>
        <v>118.23625614534888</v>
      </c>
      <c r="F46" s="9">
        <f t="shared" si="3"/>
        <v>95.876604567087568</v>
      </c>
      <c r="G46" s="9">
        <f t="shared" si="4"/>
        <v>214.11286071243643</v>
      </c>
      <c r="H46" s="10">
        <f>D46-SUM($E$3:E46)</f>
        <v>51015.952846301348</v>
      </c>
      <c r="I46" s="5">
        <v>4</v>
      </c>
      <c r="K46" s="10"/>
    </row>
    <row r="47" spans="1:12">
      <c r="A47" s="13">
        <f t="shared" si="5"/>
        <v>43709</v>
      </c>
      <c r="B47" s="5">
        <v>45</v>
      </c>
      <c r="C47" s="5">
        <f t="shared" si="0"/>
        <v>45</v>
      </c>
      <c r="D47" s="8">
        <f t="shared" si="1"/>
        <v>56014.400000000001</v>
      </c>
      <c r="E47" s="22">
        <f t="shared" si="2"/>
        <v>118.4579491256214</v>
      </c>
      <c r="F47" s="9">
        <f t="shared" si="3"/>
        <v>95.654911586815032</v>
      </c>
      <c r="G47" s="9">
        <f t="shared" si="4"/>
        <v>214.11286071243643</v>
      </c>
      <c r="H47" s="10">
        <f>D47-SUM($E$3:E47)</f>
        <v>50897.494897175726</v>
      </c>
      <c r="I47" s="5">
        <v>4</v>
      </c>
      <c r="K47" s="10"/>
    </row>
    <row r="48" spans="1:12">
      <c r="A48" s="13">
        <f t="shared" si="5"/>
        <v>43739</v>
      </c>
      <c r="B48" s="5">
        <v>46</v>
      </c>
      <c r="C48" s="5">
        <f t="shared" si="0"/>
        <v>46</v>
      </c>
      <c r="D48" s="8">
        <f t="shared" si="1"/>
        <v>56014.400000000001</v>
      </c>
      <c r="E48" s="22">
        <f t="shared" si="2"/>
        <v>118.68005778023193</v>
      </c>
      <c r="F48" s="9">
        <f t="shared" si="3"/>
        <v>95.432802932204496</v>
      </c>
      <c r="G48" s="9">
        <f t="shared" si="4"/>
        <v>214.11286071243643</v>
      </c>
      <c r="H48" s="10">
        <f>D48-SUM($E$3:E48)</f>
        <v>50778.814839395491</v>
      </c>
      <c r="I48" s="5">
        <v>4</v>
      </c>
      <c r="K48" s="10"/>
    </row>
    <row r="49" spans="1:12">
      <c r="A49" s="13">
        <f t="shared" si="5"/>
        <v>43770</v>
      </c>
      <c r="B49" s="5">
        <v>47</v>
      </c>
      <c r="C49" s="5">
        <f t="shared" si="0"/>
        <v>47</v>
      </c>
      <c r="D49" s="8">
        <f t="shared" si="1"/>
        <v>56014.400000000001</v>
      </c>
      <c r="E49" s="22">
        <f t="shared" si="2"/>
        <v>118.90258288856985</v>
      </c>
      <c r="F49" s="9">
        <f t="shared" si="3"/>
        <v>95.210277823866548</v>
      </c>
      <c r="G49" s="9">
        <f t="shared" si="4"/>
        <v>214.1128607124364</v>
      </c>
      <c r="H49" s="10">
        <f>D49-SUM($E$3:E49)</f>
        <v>50659.912256506919</v>
      </c>
      <c r="I49" s="5">
        <v>4</v>
      </c>
      <c r="K49" s="10" t="s">
        <v>32</v>
      </c>
      <c r="L49" s="4" t="s">
        <v>33</v>
      </c>
    </row>
    <row r="50" spans="1:12">
      <c r="A50" s="13">
        <f t="shared" si="5"/>
        <v>43800</v>
      </c>
      <c r="B50" s="5">
        <v>48</v>
      </c>
      <c r="C50" s="5">
        <f t="shared" si="0"/>
        <v>48</v>
      </c>
      <c r="D50" s="8">
        <f t="shared" si="1"/>
        <v>56014.400000000001</v>
      </c>
      <c r="E50" s="22">
        <f t="shared" si="2"/>
        <v>119.12552523148594</v>
      </c>
      <c r="F50" s="9">
        <f t="shared" si="3"/>
        <v>94.987335480950492</v>
      </c>
      <c r="G50" s="9">
        <f t="shared" si="4"/>
        <v>214.11286071243643</v>
      </c>
      <c r="H50" s="10">
        <f>D50-SUM($E$3:E50)</f>
        <v>50540.786731275439</v>
      </c>
      <c r="I50" s="5">
        <v>4</v>
      </c>
      <c r="J50" s="30" t="s">
        <v>37</v>
      </c>
      <c r="K50" s="31">
        <f>SUM(E39:E50)</f>
        <v>1414.8835143863146</v>
      </c>
      <c r="L50" s="31">
        <f>SUM(G39:G50)</f>
        <v>2569.3543285492374</v>
      </c>
    </row>
    <row r="51" spans="1:12">
      <c r="A51" s="13">
        <f t="shared" si="5"/>
        <v>43831</v>
      </c>
      <c r="B51" s="5">
        <v>49</v>
      </c>
      <c r="C51" s="5">
        <f t="shared" si="0"/>
        <v>49</v>
      </c>
      <c r="D51" s="8">
        <f t="shared" si="1"/>
        <v>56014.400000000001</v>
      </c>
      <c r="E51" s="22">
        <f t="shared" si="2"/>
        <v>119.34888559129497</v>
      </c>
      <c r="F51" s="9">
        <f t="shared" si="3"/>
        <v>94.763975121141456</v>
      </c>
      <c r="G51" s="9">
        <f t="shared" si="4"/>
        <v>214.11286071243643</v>
      </c>
      <c r="H51" s="10">
        <f>D51-SUM($E$3:E51)</f>
        <v>50421.437845684144</v>
      </c>
      <c r="I51" s="5">
        <v>5</v>
      </c>
      <c r="K51" s="10"/>
    </row>
    <row r="52" spans="1:12">
      <c r="A52" s="13">
        <f t="shared" si="5"/>
        <v>43862</v>
      </c>
      <c r="B52" s="5">
        <v>50</v>
      </c>
      <c r="C52" s="5">
        <f t="shared" si="0"/>
        <v>50</v>
      </c>
      <c r="D52" s="8">
        <f t="shared" si="1"/>
        <v>56014.400000000001</v>
      </c>
      <c r="E52" s="22">
        <f t="shared" si="2"/>
        <v>119.57266475177866</v>
      </c>
      <c r="F52" s="9">
        <f t="shared" si="3"/>
        <v>94.540195960657783</v>
      </c>
      <c r="G52" s="9">
        <f t="shared" si="4"/>
        <v>214.11286071243643</v>
      </c>
      <c r="H52" s="10">
        <f>D52-SUM($E$3:E52)</f>
        <v>50301.865180932364</v>
      </c>
      <c r="I52" s="5">
        <v>5</v>
      </c>
      <c r="K52" s="10"/>
    </row>
    <row r="53" spans="1:12">
      <c r="A53" s="13">
        <f t="shared" si="5"/>
        <v>43891</v>
      </c>
      <c r="B53" s="5">
        <v>51</v>
      </c>
      <c r="C53" s="5">
        <f t="shared" si="0"/>
        <v>51</v>
      </c>
      <c r="D53" s="8">
        <f t="shared" si="1"/>
        <v>56014.400000000001</v>
      </c>
      <c r="E53" s="22">
        <f t="shared" si="2"/>
        <v>119.79686349818823</v>
      </c>
      <c r="F53" s="9">
        <f t="shared" si="3"/>
        <v>94.315997214248171</v>
      </c>
      <c r="G53" s="9">
        <f t="shared" si="4"/>
        <v>214.1128607124364</v>
      </c>
      <c r="H53" s="10">
        <f>D53-SUM($E$3:E53)</f>
        <v>50182.068317434176</v>
      </c>
      <c r="I53" s="5">
        <v>5</v>
      </c>
      <c r="K53" s="10"/>
    </row>
    <row r="54" spans="1:12">
      <c r="A54" s="13">
        <f t="shared" si="5"/>
        <v>43922</v>
      </c>
      <c r="B54" s="5">
        <v>52</v>
      </c>
      <c r="C54" s="5">
        <f t="shared" si="0"/>
        <v>52</v>
      </c>
      <c r="D54" s="8">
        <f t="shared" si="1"/>
        <v>56014.400000000001</v>
      </c>
      <c r="E54" s="22">
        <f t="shared" si="2"/>
        <v>120.02148261724733</v>
      </c>
      <c r="F54" s="9">
        <f t="shared" si="3"/>
        <v>94.091378095189071</v>
      </c>
      <c r="G54" s="9">
        <f t="shared" si="4"/>
        <v>214.1128607124364</v>
      </c>
      <c r="H54" s="10">
        <f>D54-SUM($E$3:E54)</f>
        <v>50062.046834816923</v>
      </c>
      <c r="I54" s="5">
        <v>5</v>
      </c>
      <c r="K54" s="10"/>
    </row>
    <row r="55" spans="1:12">
      <c r="A55" s="13">
        <f t="shared" si="5"/>
        <v>43952</v>
      </c>
      <c r="B55" s="5">
        <v>53</v>
      </c>
      <c r="C55" s="5">
        <f t="shared" si="0"/>
        <v>53</v>
      </c>
      <c r="D55" s="8">
        <f t="shared" si="1"/>
        <v>56014.400000000001</v>
      </c>
      <c r="E55" s="22">
        <f t="shared" si="2"/>
        <v>120.24652289715468</v>
      </c>
      <c r="F55" s="9">
        <f t="shared" si="3"/>
        <v>93.866337815281739</v>
      </c>
      <c r="G55" s="9">
        <f t="shared" si="4"/>
        <v>214.11286071243643</v>
      </c>
      <c r="H55" s="10">
        <f>D55-SUM($E$3:E55)</f>
        <v>49941.800311919775</v>
      </c>
      <c r="I55" s="5">
        <v>5</v>
      </c>
      <c r="K55" s="10"/>
    </row>
    <row r="56" spans="1:12">
      <c r="A56" s="13">
        <f t="shared" si="5"/>
        <v>43983</v>
      </c>
      <c r="B56" s="5">
        <v>54</v>
      </c>
      <c r="C56" s="5">
        <f t="shared" si="0"/>
        <v>54</v>
      </c>
      <c r="D56" s="8">
        <f t="shared" si="1"/>
        <v>56014.400000000001</v>
      </c>
      <c r="E56" s="22">
        <f t="shared" si="2"/>
        <v>120.47198512758685</v>
      </c>
      <c r="F56" s="9">
        <f t="shared" si="3"/>
        <v>93.640875584849582</v>
      </c>
      <c r="G56" s="9">
        <f t="shared" si="4"/>
        <v>214.11286071243643</v>
      </c>
      <c r="H56" s="10">
        <f>D56-SUM($E$3:E56)</f>
        <v>49821.328326792187</v>
      </c>
      <c r="I56" s="5">
        <v>5</v>
      </c>
      <c r="K56" s="26"/>
    </row>
    <row r="57" spans="1:12">
      <c r="A57" s="13">
        <f t="shared" si="5"/>
        <v>44013</v>
      </c>
      <c r="B57" s="5">
        <v>55</v>
      </c>
      <c r="C57" s="5">
        <f t="shared" si="0"/>
        <v>55</v>
      </c>
      <c r="D57" s="8">
        <f t="shared" si="1"/>
        <v>56014.400000000001</v>
      </c>
      <c r="E57" s="9">
        <f t="shared" si="2"/>
        <v>120.69787009970108</v>
      </c>
      <c r="F57" s="9">
        <f t="shared" si="3"/>
        <v>93.414990612735352</v>
      </c>
      <c r="G57" s="9">
        <f t="shared" si="4"/>
        <v>214.11286071243643</v>
      </c>
      <c r="H57" s="10">
        <f>D57-SUM($E$3:E57)</f>
        <v>49700.630456692481</v>
      </c>
      <c r="I57" s="5">
        <v>5</v>
      </c>
      <c r="K57" s="10"/>
    </row>
    <row r="58" spans="1:12">
      <c r="A58" s="13">
        <f t="shared" si="5"/>
        <v>44044</v>
      </c>
      <c r="B58" s="5">
        <v>56</v>
      </c>
      <c r="C58" s="5">
        <f t="shared" si="0"/>
        <v>56</v>
      </c>
      <c r="D58" s="8">
        <f t="shared" si="1"/>
        <v>56014.400000000001</v>
      </c>
      <c r="E58" s="9">
        <f t="shared" si="2"/>
        <v>120.924178606138</v>
      </c>
      <c r="F58" s="9">
        <f t="shared" si="3"/>
        <v>93.188682106298415</v>
      </c>
      <c r="G58" s="9">
        <f t="shared" si="4"/>
        <v>214.11286071243643</v>
      </c>
      <c r="H58" s="10">
        <f>D58-SUM($E$3:E58)</f>
        <v>49579.706278086349</v>
      </c>
      <c r="I58" s="5">
        <v>5</v>
      </c>
      <c r="K58" s="10"/>
    </row>
    <row r="59" spans="1:12">
      <c r="A59" s="13">
        <f t="shared" si="5"/>
        <v>44075</v>
      </c>
      <c r="B59" s="5">
        <v>57</v>
      </c>
      <c r="C59" s="5">
        <f t="shared" si="0"/>
        <v>57</v>
      </c>
      <c r="D59" s="8">
        <f t="shared" si="1"/>
        <v>56014.400000000001</v>
      </c>
      <c r="E59" s="9">
        <f t="shared" si="2"/>
        <v>121.1509114410245</v>
      </c>
      <c r="F59" s="9">
        <f t="shared" si="3"/>
        <v>92.961949271411896</v>
      </c>
      <c r="G59" s="9">
        <f t="shared" si="4"/>
        <v>214.1128607124364</v>
      </c>
      <c r="H59" s="10">
        <f>D59-SUM($E$3:E59)</f>
        <v>49458.55536664532</v>
      </c>
      <c r="I59" s="5">
        <v>5</v>
      </c>
      <c r="K59" s="10"/>
    </row>
    <row r="60" spans="1:12">
      <c r="A60" s="13">
        <f t="shared" si="5"/>
        <v>44105</v>
      </c>
      <c r="B60" s="5">
        <v>58</v>
      </c>
      <c r="C60" s="5">
        <f t="shared" si="0"/>
        <v>58</v>
      </c>
      <c r="D60" s="8">
        <f t="shared" si="1"/>
        <v>56014.400000000001</v>
      </c>
      <c r="E60" s="9">
        <f t="shared" si="2"/>
        <v>121.37806939997645</v>
      </c>
      <c r="F60" s="9">
        <f t="shared" si="3"/>
        <v>92.73479131245999</v>
      </c>
      <c r="G60" s="9">
        <f t="shared" si="4"/>
        <v>214.11286071243643</v>
      </c>
      <c r="H60" s="10">
        <f>D60-SUM($E$3:E60)</f>
        <v>49337.177297245347</v>
      </c>
      <c r="I60" s="5">
        <v>5</v>
      </c>
      <c r="K60" s="10"/>
    </row>
    <row r="61" spans="1:12">
      <c r="A61" s="13">
        <f t="shared" si="5"/>
        <v>44136</v>
      </c>
      <c r="B61" s="5">
        <v>59</v>
      </c>
      <c r="C61" s="5">
        <f t="shared" si="0"/>
        <v>59</v>
      </c>
      <c r="D61" s="8">
        <f t="shared" si="1"/>
        <v>56014.400000000001</v>
      </c>
      <c r="E61" s="9">
        <f t="shared" si="2"/>
        <v>121.60565328010141</v>
      </c>
      <c r="F61" s="9">
        <f t="shared" si="3"/>
        <v>92.507207432335051</v>
      </c>
      <c r="G61" s="9">
        <f t="shared" si="4"/>
        <v>214.11286071243646</v>
      </c>
      <c r="H61" s="10">
        <f>D61-SUM($E$3:E61)</f>
        <v>49215.571643965246</v>
      </c>
      <c r="I61" s="5">
        <v>5</v>
      </c>
      <c r="K61" s="10" t="s">
        <v>32</v>
      </c>
      <c r="L61" s="4" t="s">
        <v>33</v>
      </c>
    </row>
    <row r="62" spans="1:12">
      <c r="A62" s="13">
        <f t="shared" si="5"/>
        <v>44166</v>
      </c>
      <c r="B62" s="5">
        <v>60</v>
      </c>
      <c r="C62" s="5">
        <f t="shared" si="0"/>
        <v>60</v>
      </c>
      <c r="D62" s="8">
        <f t="shared" si="1"/>
        <v>56014.400000000001</v>
      </c>
      <c r="E62" s="9">
        <f t="shared" si="2"/>
        <v>121.83366388000157</v>
      </c>
      <c r="F62" s="9">
        <f t="shared" si="3"/>
        <v>92.279196832434835</v>
      </c>
      <c r="G62" s="9">
        <f t="shared" si="4"/>
        <v>214.1128607124364</v>
      </c>
      <c r="H62" s="31">
        <f>D62-SUM($E$3:E62)</f>
        <v>49093.737980085243</v>
      </c>
      <c r="I62" s="30">
        <v>5</v>
      </c>
      <c r="J62" s="30" t="s">
        <v>38</v>
      </c>
      <c r="K62" s="31">
        <f>SUM(E51:E62)</f>
        <v>1447.0487511901938</v>
      </c>
      <c r="L62" s="31">
        <f>SUM(G51:G62)</f>
        <v>2569.3543285492374</v>
      </c>
    </row>
    <row r="63" spans="1:12">
      <c r="A63" s="13">
        <f t="shared" si="5"/>
        <v>44197</v>
      </c>
      <c r="B63" s="5">
        <v>61</v>
      </c>
      <c r="C63" s="5">
        <f t="shared" si="0"/>
        <v>61</v>
      </c>
      <c r="D63" s="8">
        <f t="shared" si="1"/>
        <v>56014.400000000001</v>
      </c>
      <c r="E63" s="9">
        <f t="shared" si="2"/>
        <v>122.06210199977657</v>
      </c>
      <c r="F63" s="9">
        <f t="shared" si="3"/>
        <v>92.050758712659857</v>
      </c>
      <c r="G63" s="9">
        <f t="shared" si="4"/>
        <v>214.11286071243643</v>
      </c>
      <c r="H63" s="10">
        <f>D63-SUM($E$3:E63)</f>
        <v>48971.675878085465</v>
      </c>
      <c r="I63" s="5">
        <v>6</v>
      </c>
      <c r="K63" s="10"/>
    </row>
    <row r="64" spans="1:12">
      <c r="A64" s="13">
        <f t="shared" si="5"/>
        <v>44228</v>
      </c>
      <c r="B64" s="5">
        <v>62</v>
      </c>
      <c r="C64" s="5">
        <f t="shared" si="0"/>
        <v>62</v>
      </c>
      <c r="D64" s="8">
        <f t="shared" si="1"/>
        <v>56014.400000000001</v>
      </c>
      <c r="E64" s="9">
        <f t="shared" si="2"/>
        <v>122.29096844102615</v>
      </c>
      <c r="F64" s="9">
        <f t="shared" si="3"/>
        <v>91.821892271410277</v>
      </c>
      <c r="G64" s="9">
        <f t="shared" si="4"/>
        <v>214.11286071243643</v>
      </c>
      <c r="H64" s="10">
        <f>D64-SUM($E$3:E64)</f>
        <v>48849.384909644439</v>
      </c>
      <c r="I64" s="5">
        <v>6</v>
      </c>
      <c r="K64" s="10"/>
    </row>
    <row r="65" spans="1:12">
      <c r="A65" s="13">
        <f t="shared" si="5"/>
        <v>44256</v>
      </c>
      <c r="B65" s="5">
        <v>63</v>
      </c>
      <c r="C65" s="5">
        <f t="shared" si="0"/>
        <v>63</v>
      </c>
      <c r="D65" s="8">
        <f t="shared" si="1"/>
        <v>56014.400000000001</v>
      </c>
      <c r="E65" s="9">
        <f t="shared" si="2"/>
        <v>122.52026400685308</v>
      </c>
      <c r="F65" s="9">
        <f t="shared" si="3"/>
        <v>91.592596705583347</v>
      </c>
      <c r="G65" s="9">
        <f t="shared" si="4"/>
        <v>214.11286071243643</v>
      </c>
      <c r="H65" s="10">
        <f>D65-SUM($E$3:E65)</f>
        <v>48726.864645637586</v>
      </c>
      <c r="I65" s="5">
        <v>6</v>
      </c>
      <c r="K65" s="10"/>
    </row>
    <row r="66" spans="1:12">
      <c r="A66" s="13">
        <f t="shared" si="5"/>
        <v>44287</v>
      </c>
      <c r="B66" s="5">
        <v>64</v>
      </c>
      <c r="C66" s="5">
        <f t="shared" si="0"/>
        <v>64</v>
      </c>
      <c r="D66" s="8">
        <f t="shared" si="1"/>
        <v>56014.400000000001</v>
      </c>
      <c r="E66" s="9">
        <f t="shared" si="2"/>
        <v>122.74998950186594</v>
      </c>
      <c r="F66" s="9">
        <f t="shared" si="3"/>
        <v>91.362871210570489</v>
      </c>
      <c r="G66" s="9">
        <f t="shared" si="4"/>
        <v>214.11286071243643</v>
      </c>
      <c r="H66" s="10">
        <f>D66-SUM($E$3:E66)</f>
        <v>48604.114656135716</v>
      </c>
      <c r="I66" s="5">
        <v>6</v>
      </c>
      <c r="K66" s="10"/>
    </row>
    <row r="67" spans="1:12">
      <c r="A67" s="13">
        <f t="shared" si="5"/>
        <v>44317</v>
      </c>
      <c r="B67" s="5">
        <v>65</v>
      </c>
      <c r="C67" s="5">
        <f t="shared" ref="C67:C130" si="6">IF(B67&lt;=$O$7,0,C66+1)</f>
        <v>65</v>
      </c>
      <c r="D67" s="8">
        <f t="shared" ref="D67:D130" si="7">$L$3</f>
        <v>56014.400000000001</v>
      </c>
      <c r="E67" s="9">
        <f t="shared" ref="E67:E130" si="8">IF(C67=0,0,-PPMT($L$4/12,$C67,$L$5*12,D67,0))</f>
        <v>122.98014573218194</v>
      </c>
      <c r="F67" s="9">
        <f t="shared" ref="F67:F130" si="9">IF(C67=0,D67*$L$4/12,-IPMT($L$4/12,C67,$L$5*12,D67,0))</f>
        <v>91.132714980254491</v>
      </c>
      <c r="G67" s="9">
        <f t="shared" ref="G67:G130" si="10">+E67+F67</f>
        <v>214.11286071243643</v>
      </c>
      <c r="H67" s="10">
        <f>D67-SUM($E$3:E67)</f>
        <v>48481.134510403535</v>
      </c>
      <c r="I67" s="5">
        <v>6</v>
      </c>
      <c r="K67" s="10"/>
    </row>
    <row r="68" spans="1:12">
      <c r="A68" s="13">
        <f t="shared" ref="A68:A131" si="11">+EDATE(A67,1)</f>
        <v>44348</v>
      </c>
      <c r="B68" s="5">
        <v>66</v>
      </c>
      <c r="C68" s="5">
        <f t="shared" si="6"/>
        <v>66</v>
      </c>
      <c r="D68" s="8">
        <f t="shared" si="7"/>
        <v>56014.400000000001</v>
      </c>
      <c r="E68" s="9">
        <f t="shared" si="8"/>
        <v>123.21073350542976</v>
      </c>
      <c r="F68" s="9">
        <f t="shared" si="9"/>
        <v>90.902127207006657</v>
      </c>
      <c r="G68" s="9">
        <f t="shared" si="10"/>
        <v>214.11286071243643</v>
      </c>
      <c r="H68" s="10">
        <f>D68-SUM($E$3:E68)</f>
        <v>48357.923776898111</v>
      </c>
      <c r="I68" s="5">
        <v>6</v>
      </c>
      <c r="K68" s="26"/>
    </row>
    <row r="69" spans="1:12">
      <c r="A69" s="13">
        <f t="shared" si="11"/>
        <v>44378</v>
      </c>
      <c r="B69" s="5">
        <v>67</v>
      </c>
      <c r="C69" s="5">
        <f t="shared" si="6"/>
        <v>67</v>
      </c>
      <c r="D69" s="8">
        <f t="shared" si="7"/>
        <v>56014.400000000001</v>
      </c>
      <c r="E69" s="22">
        <f t="shared" si="8"/>
        <v>123.44175363075247</v>
      </c>
      <c r="F69" s="9">
        <f t="shared" si="9"/>
        <v>90.671107081683971</v>
      </c>
      <c r="G69" s="9">
        <f t="shared" si="10"/>
        <v>214.11286071243643</v>
      </c>
      <c r="H69" s="10">
        <f>D69-SUM($E$3:E69)</f>
        <v>48234.482023267352</v>
      </c>
      <c r="I69" s="5">
        <v>6</v>
      </c>
      <c r="K69" s="10"/>
    </row>
    <row r="70" spans="1:12">
      <c r="A70" s="13">
        <f t="shared" si="11"/>
        <v>44409</v>
      </c>
      <c r="B70" s="5">
        <v>68</v>
      </c>
      <c r="C70" s="5">
        <f t="shared" si="6"/>
        <v>68</v>
      </c>
      <c r="D70" s="8">
        <f t="shared" si="7"/>
        <v>56014.400000000001</v>
      </c>
      <c r="E70" s="22">
        <f t="shared" si="8"/>
        <v>123.67320691881011</v>
      </c>
      <c r="F70" s="9">
        <f t="shared" si="9"/>
        <v>90.439653793626306</v>
      </c>
      <c r="G70" s="9">
        <f t="shared" si="10"/>
        <v>214.11286071243643</v>
      </c>
      <c r="H70" s="10">
        <f>D70-SUM($E$3:E70)</f>
        <v>48110.808816348544</v>
      </c>
      <c r="I70" s="5">
        <v>6</v>
      </c>
      <c r="K70" s="10"/>
    </row>
    <row r="71" spans="1:12">
      <c r="A71" s="13">
        <f t="shared" si="11"/>
        <v>44440</v>
      </c>
      <c r="B71" s="5">
        <v>69</v>
      </c>
      <c r="C71" s="5">
        <f t="shared" si="6"/>
        <v>69</v>
      </c>
      <c r="D71" s="8">
        <f t="shared" si="7"/>
        <v>56014.400000000001</v>
      </c>
      <c r="E71" s="22">
        <f t="shared" si="8"/>
        <v>123.90509418178289</v>
      </c>
      <c r="F71" s="9">
        <f t="shared" si="9"/>
        <v>90.207766530653544</v>
      </c>
      <c r="G71" s="9">
        <f t="shared" si="10"/>
        <v>214.11286071243643</v>
      </c>
      <c r="H71" s="10">
        <f>D71-SUM($E$3:E71)</f>
        <v>47986.90372216676</v>
      </c>
      <c r="I71" s="5">
        <v>6</v>
      </c>
      <c r="K71" s="10"/>
    </row>
    <row r="72" spans="1:12">
      <c r="A72" s="13">
        <f t="shared" si="11"/>
        <v>44470</v>
      </c>
      <c r="B72" s="5">
        <v>70</v>
      </c>
      <c r="C72" s="5">
        <f t="shared" si="6"/>
        <v>70</v>
      </c>
      <c r="D72" s="8">
        <f t="shared" si="7"/>
        <v>56014.400000000001</v>
      </c>
      <c r="E72" s="22">
        <f t="shared" si="8"/>
        <v>124.13741623337374</v>
      </c>
      <c r="F72" s="9">
        <f t="shared" si="9"/>
        <v>89.975444479062702</v>
      </c>
      <c r="G72" s="9">
        <f t="shared" si="10"/>
        <v>214.11286071243643</v>
      </c>
      <c r="H72" s="10">
        <f>D72-SUM($E$3:E72)</f>
        <v>47862.766305933386</v>
      </c>
      <c r="I72" s="5">
        <v>6</v>
      </c>
      <c r="K72" s="10"/>
    </row>
    <row r="73" spans="1:12">
      <c r="A73" s="13">
        <f t="shared" si="11"/>
        <v>44501</v>
      </c>
      <c r="B73" s="5">
        <v>71</v>
      </c>
      <c r="C73" s="5">
        <f t="shared" si="6"/>
        <v>71</v>
      </c>
      <c r="D73" s="8">
        <f t="shared" si="7"/>
        <v>56014.400000000001</v>
      </c>
      <c r="E73" s="22">
        <f t="shared" si="8"/>
        <v>124.37017388881129</v>
      </c>
      <c r="F73" s="9">
        <f t="shared" si="9"/>
        <v>89.742686823625135</v>
      </c>
      <c r="G73" s="9">
        <f t="shared" si="10"/>
        <v>214.11286071243643</v>
      </c>
      <c r="H73" s="10">
        <f>D73-SUM($E$3:E73)</f>
        <v>47738.396132044574</v>
      </c>
      <c r="I73" s="5">
        <v>6</v>
      </c>
      <c r="K73" s="10" t="s">
        <v>32</v>
      </c>
      <c r="L73" s="4" t="s">
        <v>33</v>
      </c>
    </row>
    <row r="74" spans="1:12">
      <c r="A74" s="13">
        <f t="shared" si="11"/>
        <v>44531</v>
      </c>
      <c r="B74" s="5">
        <v>72</v>
      </c>
      <c r="C74" s="5">
        <f t="shared" si="6"/>
        <v>72</v>
      </c>
      <c r="D74" s="8">
        <f t="shared" si="7"/>
        <v>56014.400000000001</v>
      </c>
      <c r="E74" s="22">
        <f t="shared" si="8"/>
        <v>124.60336796485284</v>
      </c>
      <c r="F74" s="9">
        <f t="shared" si="9"/>
        <v>89.509492747583607</v>
      </c>
      <c r="G74" s="9">
        <f t="shared" si="10"/>
        <v>214.11286071243643</v>
      </c>
      <c r="H74" s="10">
        <f>D74-SUM($E$3:E74)</f>
        <v>47613.792764079721</v>
      </c>
      <c r="I74" s="5">
        <v>6</v>
      </c>
      <c r="J74" s="30" t="s">
        <v>39</v>
      </c>
      <c r="K74" s="31">
        <f>SUM(E63:E74)</f>
        <v>1479.9452160055166</v>
      </c>
      <c r="L74" s="31">
        <f>SUM(G63:G74)</f>
        <v>2569.3543285492374</v>
      </c>
    </row>
    <row r="75" spans="1:12">
      <c r="A75" s="13">
        <f t="shared" si="11"/>
        <v>44562</v>
      </c>
      <c r="B75" s="5">
        <v>73</v>
      </c>
      <c r="C75" s="5">
        <f t="shared" si="6"/>
        <v>73</v>
      </c>
      <c r="D75" s="8">
        <f t="shared" si="7"/>
        <v>56014.400000000001</v>
      </c>
      <c r="E75" s="22">
        <f t="shared" si="8"/>
        <v>124.83699927978694</v>
      </c>
      <c r="F75" s="9">
        <f t="shared" si="9"/>
        <v>89.275861432649506</v>
      </c>
      <c r="G75" s="9">
        <f t="shared" si="10"/>
        <v>214.11286071243643</v>
      </c>
      <c r="H75" s="10">
        <f>D75-SUM($E$3:E75)</f>
        <v>47488.955764799932</v>
      </c>
      <c r="I75" s="5">
        <v>7</v>
      </c>
      <c r="K75" s="10"/>
    </row>
    <row r="76" spans="1:12">
      <c r="A76" s="13">
        <f t="shared" si="11"/>
        <v>44593</v>
      </c>
      <c r="B76" s="5">
        <v>74</v>
      </c>
      <c r="C76" s="5">
        <f t="shared" si="6"/>
        <v>74</v>
      </c>
      <c r="D76" s="8">
        <f t="shared" si="7"/>
        <v>56014.400000000001</v>
      </c>
      <c r="E76" s="22">
        <f t="shared" si="8"/>
        <v>125.07106865343653</v>
      </c>
      <c r="F76" s="9">
        <f t="shared" si="9"/>
        <v>89.041792058999889</v>
      </c>
      <c r="G76" s="9">
        <f t="shared" si="10"/>
        <v>214.11286071243643</v>
      </c>
      <c r="H76" s="10">
        <f>D76-SUM($E$3:E76)</f>
        <v>47363.884696146502</v>
      </c>
      <c r="I76" s="5">
        <v>7</v>
      </c>
      <c r="K76" s="10"/>
    </row>
    <row r="77" spans="1:12">
      <c r="A77" s="13">
        <f t="shared" si="11"/>
        <v>44621</v>
      </c>
      <c r="B77" s="5">
        <v>75</v>
      </c>
      <c r="C77" s="5">
        <f t="shared" si="6"/>
        <v>75</v>
      </c>
      <c r="D77" s="8">
        <f t="shared" si="7"/>
        <v>56014.400000000001</v>
      </c>
      <c r="E77" s="22">
        <f t="shared" si="8"/>
        <v>125.30557690716171</v>
      </c>
      <c r="F77" s="9">
        <f t="shared" si="9"/>
        <v>88.807283805274722</v>
      </c>
      <c r="G77" s="9">
        <f t="shared" si="10"/>
        <v>214.11286071243643</v>
      </c>
      <c r="H77" s="10">
        <f>D77-SUM($E$3:E77)</f>
        <v>47238.579119239337</v>
      </c>
      <c r="I77" s="5">
        <v>7</v>
      </c>
      <c r="K77" s="10"/>
    </row>
    <row r="78" spans="1:12">
      <c r="A78" s="13">
        <f t="shared" si="11"/>
        <v>44652</v>
      </c>
      <c r="B78" s="5">
        <v>76</v>
      </c>
      <c r="C78" s="5">
        <f t="shared" si="6"/>
        <v>76</v>
      </c>
      <c r="D78" s="8">
        <f t="shared" si="7"/>
        <v>56014.400000000001</v>
      </c>
      <c r="E78" s="22">
        <f t="shared" si="8"/>
        <v>125.54052486386264</v>
      </c>
      <c r="F78" s="9">
        <f t="shared" si="9"/>
        <v>88.572335848573786</v>
      </c>
      <c r="G78" s="9">
        <f t="shared" si="10"/>
        <v>214.11286071243643</v>
      </c>
      <c r="H78" s="10">
        <f>D78-SUM($E$3:E78)</f>
        <v>47113.038594375474</v>
      </c>
      <c r="I78" s="5">
        <v>7</v>
      </c>
      <c r="K78" s="10"/>
    </row>
    <row r="79" spans="1:12">
      <c r="A79" s="13">
        <f t="shared" si="11"/>
        <v>44682</v>
      </c>
      <c r="B79" s="5">
        <v>77</v>
      </c>
      <c r="C79" s="5">
        <f t="shared" si="6"/>
        <v>77</v>
      </c>
      <c r="D79" s="8">
        <f t="shared" si="7"/>
        <v>56014.400000000001</v>
      </c>
      <c r="E79" s="22">
        <f t="shared" si="8"/>
        <v>125.7759133479824</v>
      </c>
      <c r="F79" s="9">
        <f t="shared" si="9"/>
        <v>88.336947364454034</v>
      </c>
      <c r="G79" s="9">
        <f t="shared" si="10"/>
        <v>214.11286071243643</v>
      </c>
      <c r="H79" s="10">
        <f>D79-SUM($E$3:E79)</f>
        <v>46987.262681027489</v>
      </c>
      <c r="I79" s="5">
        <v>7</v>
      </c>
      <c r="K79" s="10"/>
    </row>
    <row r="80" spans="1:12">
      <c r="A80" s="13">
        <f t="shared" si="11"/>
        <v>44713</v>
      </c>
      <c r="B80" s="5">
        <v>78</v>
      </c>
      <c r="C80" s="5">
        <f t="shared" si="6"/>
        <v>78</v>
      </c>
      <c r="D80" s="8">
        <f t="shared" si="7"/>
        <v>56014.400000000001</v>
      </c>
      <c r="E80" s="22">
        <f t="shared" si="8"/>
        <v>126.01174318550984</v>
      </c>
      <c r="F80" s="9">
        <f t="shared" si="9"/>
        <v>88.101117526926572</v>
      </c>
      <c r="G80" s="9">
        <f t="shared" si="10"/>
        <v>214.11286071243643</v>
      </c>
      <c r="H80" s="10">
        <f>D80-SUM($E$3:E80)</f>
        <v>46861.250937841978</v>
      </c>
      <c r="I80" s="5">
        <v>7</v>
      </c>
      <c r="K80" s="26"/>
    </row>
    <row r="81" spans="1:11">
      <c r="A81" s="13">
        <f t="shared" si="11"/>
        <v>44743</v>
      </c>
      <c r="B81" s="5">
        <v>79</v>
      </c>
      <c r="C81" s="5">
        <f t="shared" si="6"/>
        <v>79</v>
      </c>
      <c r="D81" s="8">
        <f t="shared" si="7"/>
        <v>56014.400000000001</v>
      </c>
      <c r="E81" s="9">
        <f t="shared" si="8"/>
        <v>126.24801520398269</v>
      </c>
      <c r="F81" s="9">
        <f t="shared" si="9"/>
        <v>87.864845508453726</v>
      </c>
      <c r="G81" s="9">
        <f t="shared" si="10"/>
        <v>214.11286071243643</v>
      </c>
      <c r="H81" s="10">
        <f>D81-SUM($E$3:E81)</f>
        <v>46735.002922637999</v>
      </c>
      <c r="I81" s="5">
        <v>7</v>
      </c>
      <c r="K81" s="10"/>
    </row>
    <row r="82" spans="1:11">
      <c r="A82" s="13">
        <f t="shared" si="11"/>
        <v>44774</v>
      </c>
      <c r="B82" s="5">
        <v>80</v>
      </c>
      <c r="C82" s="5">
        <f t="shared" si="6"/>
        <v>80</v>
      </c>
      <c r="D82" s="8">
        <f t="shared" si="7"/>
        <v>56014.400000000001</v>
      </c>
      <c r="E82" s="9">
        <f t="shared" si="8"/>
        <v>126.48473023249018</v>
      </c>
      <c r="F82" s="9">
        <f t="shared" si="9"/>
        <v>87.628130479946293</v>
      </c>
      <c r="G82" s="9">
        <f t="shared" si="10"/>
        <v>214.11286071243649</v>
      </c>
      <c r="H82" s="10">
        <f>D82-SUM($E$3:E82)</f>
        <v>46608.518192405507</v>
      </c>
      <c r="I82" s="5">
        <v>7</v>
      </c>
      <c r="K82" s="10"/>
    </row>
    <row r="83" spans="1:11">
      <c r="A83" s="13">
        <f t="shared" si="11"/>
        <v>44805</v>
      </c>
      <c r="B83" s="5">
        <v>81</v>
      </c>
      <c r="C83" s="5">
        <f t="shared" si="6"/>
        <v>81</v>
      </c>
      <c r="D83" s="8">
        <f t="shared" si="7"/>
        <v>56014.400000000001</v>
      </c>
      <c r="E83" s="9">
        <f t="shared" si="8"/>
        <v>126.72188910167607</v>
      </c>
      <c r="F83" s="9">
        <f t="shared" si="9"/>
        <v>87.390971610760346</v>
      </c>
      <c r="G83" s="9">
        <f t="shared" si="10"/>
        <v>214.11286071243643</v>
      </c>
      <c r="H83" s="10">
        <f>D83-SUM($E$3:E83)</f>
        <v>46481.796303303832</v>
      </c>
      <c r="I83" s="5">
        <v>7</v>
      </c>
      <c r="K83" s="10"/>
    </row>
    <row r="84" spans="1:11">
      <c r="A84" s="13">
        <f t="shared" si="11"/>
        <v>44835</v>
      </c>
      <c r="B84" s="5">
        <v>82</v>
      </c>
      <c r="C84" s="5">
        <f t="shared" si="6"/>
        <v>82</v>
      </c>
      <c r="D84" s="8">
        <f t="shared" si="7"/>
        <v>56014.400000000001</v>
      </c>
      <c r="E84" s="9">
        <f t="shared" si="8"/>
        <v>126.95949264374173</v>
      </c>
      <c r="F84" s="9">
        <f t="shared" si="9"/>
        <v>87.153368068694704</v>
      </c>
      <c r="G84" s="9">
        <f t="shared" si="10"/>
        <v>214.11286071243643</v>
      </c>
      <c r="H84" s="10">
        <f>D84-SUM($E$3:E84)</f>
        <v>46354.83681066009</v>
      </c>
      <c r="I84" s="5">
        <v>7</v>
      </c>
      <c r="K84" s="10"/>
    </row>
    <row r="85" spans="1:11">
      <c r="A85" s="13">
        <f t="shared" si="11"/>
        <v>44866</v>
      </c>
      <c r="B85" s="5">
        <v>83</v>
      </c>
      <c r="C85" s="5">
        <f t="shared" si="6"/>
        <v>83</v>
      </c>
      <c r="D85" s="8">
        <f t="shared" si="7"/>
        <v>56014.400000000001</v>
      </c>
      <c r="E85" s="9">
        <f t="shared" si="8"/>
        <v>127.19754169244874</v>
      </c>
      <c r="F85" s="9">
        <f t="shared" si="9"/>
        <v>86.915319019987692</v>
      </c>
      <c r="G85" s="9">
        <f t="shared" si="10"/>
        <v>214.11286071243643</v>
      </c>
      <c r="H85" s="10">
        <f>D85-SUM($E$3:E85)</f>
        <v>46227.639268967643</v>
      </c>
      <c r="I85" s="5">
        <v>7</v>
      </c>
      <c r="K85" s="10"/>
    </row>
    <row r="86" spans="1:11" s="28" customFormat="1">
      <c r="A86" s="24">
        <f t="shared" si="11"/>
        <v>44896</v>
      </c>
      <c r="B86" s="25">
        <v>84</v>
      </c>
      <c r="C86" s="25">
        <f t="shared" si="6"/>
        <v>84</v>
      </c>
      <c r="D86" s="26">
        <f t="shared" si="7"/>
        <v>56014.400000000001</v>
      </c>
      <c r="E86" s="27">
        <f t="shared" si="8"/>
        <v>127.4360370831221</v>
      </c>
      <c r="F86" s="27">
        <f t="shared" si="9"/>
        <v>86.67682362931437</v>
      </c>
      <c r="G86" s="27">
        <f t="shared" si="10"/>
        <v>214.11286071243649</v>
      </c>
      <c r="H86" s="26">
        <f>D86-SUM($E$3:E86)</f>
        <v>46100.203231884516</v>
      </c>
      <c r="I86" s="25">
        <v>7</v>
      </c>
      <c r="J86" s="32"/>
    </row>
    <row r="87" spans="1:11">
      <c r="A87" s="13">
        <f t="shared" si="11"/>
        <v>44927</v>
      </c>
      <c r="B87" s="5">
        <v>85</v>
      </c>
      <c r="C87" s="5">
        <f t="shared" si="6"/>
        <v>85</v>
      </c>
      <c r="D87" s="8">
        <f t="shared" si="7"/>
        <v>56014.400000000001</v>
      </c>
      <c r="E87" s="9">
        <f t="shared" si="8"/>
        <v>127.67497965265294</v>
      </c>
      <c r="F87" s="9">
        <f t="shared" si="9"/>
        <v>86.437881059783479</v>
      </c>
      <c r="G87" s="9">
        <f t="shared" si="10"/>
        <v>214.11286071243643</v>
      </c>
      <c r="H87" s="10">
        <f>D87-SUM($E$3:E87)</f>
        <v>45972.528252231867</v>
      </c>
      <c r="I87" s="5">
        <v>8</v>
      </c>
      <c r="J87" s="33"/>
      <c r="K87" s="10"/>
    </row>
    <row r="88" spans="1:11">
      <c r="A88" s="13">
        <f t="shared" si="11"/>
        <v>44958</v>
      </c>
      <c r="B88" s="5">
        <v>86</v>
      </c>
      <c r="C88" s="5">
        <f t="shared" si="6"/>
        <v>86</v>
      </c>
      <c r="D88" s="8">
        <f t="shared" si="7"/>
        <v>56014.400000000001</v>
      </c>
      <c r="E88" s="9">
        <f t="shared" si="8"/>
        <v>127.91437023950166</v>
      </c>
      <c r="F88" s="9">
        <f t="shared" si="9"/>
        <v>86.198490472934779</v>
      </c>
      <c r="G88" s="9">
        <f t="shared" si="10"/>
        <v>214.11286071243643</v>
      </c>
      <c r="H88" s="10">
        <f>D88-SUM($E$3:E88)</f>
        <v>45844.613881992365</v>
      </c>
      <c r="I88" s="5">
        <v>8</v>
      </c>
      <c r="J88" s="33"/>
      <c r="K88" s="10"/>
    </row>
    <row r="89" spans="1:11">
      <c r="A89" s="13">
        <f t="shared" si="11"/>
        <v>44986</v>
      </c>
      <c r="B89" s="5">
        <v>87</v>
      </c>
      <c r="C89" s="5">
        <f t="shared" si="6"/>
        <v>87</v>
      </c>
      <c r="D89" s="8">
        <f t="shared" si="7"/>
        <v>56014.400000000001</v>
      </c>
      <c r="E89" s="9">
        <f t="shared" si="8"/>
        <v>128.15420968370071</v>
      </c>
      <c r="F89" s="9">
        <f t="shared" si="9"/>
        <v>85.958651028735702</v>
      </c>
      <c r="G89" s="9">
        <f t="shared" si="10"/>
        <v>214.11286071243643</v>
      </c>
      <c r="H89" s="10">
        <f>D89-SUM($E$3:E89)</f>
        <v>45716.459672308665</v>
      </c>
      <c r="I89" s="5">
        <v>8</v>
      </c>
      <c r="J89" s="33"/>
      <c r="K89" s="10"/>
    </row>
    <row r="90" spans="1:11">
      <c r="A90" s="13">
        <f t="shared" si="11"/>
        <v>45017</v>
      </c>
      <c r="B90" s="5">
        <v>88</v>
      </c>
      <c r="C90" s="5">
        <f t="shared" si="6"/>
        <v>88</v>
      </c>
      <c r="D90" s="8">
        <f t="shared" si="7"/>
        <v>56014.400000000001</v>
      </c>
      <c r="E90" s="9">
        <f t="shared" si="8"/>
        <v>128.39449882685764</v>
      </c>
      <c r="F90" s="9">
        <f t="shared" si="9"/>
        <v>85.718361885578744</v>
      </c>
      <c r="G90" s="9">
        <f t="shared" si="10"/>
        <v>214.11286071243637</v>
      </c>
      <c r="H90" s="10">
        <f>D90-SUM($E$3:E90)</f>
        <v>45588.065173481809</v>
      </c>
      <c r="I90" s="5">
        <v>8</v>
      </c>
      <c r="J90" s="33"/>
      <c r="K90" s="10"/>
    </row>
    <row r="91" spans="1:11">
      <c r="A91" s="13">
        <f t="shared" si="11"/>
        <v>45047</v>
      </c>
      <c r="B91" s="5">
        <v>89</v>
      </c>
      <c r="C91" s="5">
        <f t="shared" si="6"/>
        <v>89</v>
      </c>
      <c r="D91" s="8">
        <f t="shared" si="7"/>
        <v>56014.400000000001</v>
      </c>
      <c r="E91" s="9">
        <f t="shared" si="8"/>
        <v>128.63523851215803</v>
      </c>
      <c r="F91" s="9">
        <f t="shared" si="9"/>
        <v>85.477622200278404</v>
      </c>
      <c r="G91" s="9">
        <f t="shared" si="10"/>
        <v>214.11286071243643</v>
      </c>
      <c r="H91" s="10">
        <f>D91-SUM($E$3:E91)</f>
        <v>45459.429934969652</v>
      </c>
      <c r="I91" s="5">
        <v>8</v>
      </c>
      <c r="J91" s="33"/>
      <c r="K91" s="10"/>
    </row>
    <row r="92" spans="1:11">
      <c r="A92" s="13">
        <f t="shared" si="11"/>
        <v>45078</v>
      </c>
      <c r="B92" s="5">
        <v>90</v>
      </c>
      <c r="C92" s="5">
        <f t="shared" si="6"/>
        <v>90</v>
      </c>
      <c r="D92" s="8">
        <f t="shared" si="7"/>
        <v>56014.400000000001</v>
      </c>
      <c r="E92" s="9">
        <f t="shared" si="8"/>
        <v>128.87642958436831</v>
      </c>
      <c r="F92" s="9">
        <f t="shared" si="9"/>
        <v>85.236431128068105</v>
      </c>
      <c r="G92" s="9">
        <f t="shared" si="10"/>
        <v>214.11286071243643</v>
      </c>
      <c r="H92" s="10">
        <f>D92-SUM($E$3:E92)</f>
        <v>45330.55350538528</v>
      </c>
      <c r="I92" s="5">
        <v>8</v>
      </c>
      <c r="J92" s="33"/>
      <c r="K92" s="10"/>
    </row>
    <row r="93" spans="1:11">
      <c r="A93" s="13">
        <f t="shared" si="11"/>
        <v>45108</v>
      </c>
      <c r="B93" s="5">
        <v>91</v>
      </c>
      <c r="C93" s="5">
        <f t="shared" si="6"/>
        <v>91</v>
      </c>
      <c r="D93" s="8">
        <f t="shared" si="7"/>
        <v>56014.400000000001</v>
      </c>
      <c r="E93" s="9">
        <f t="shared" si="8"/>
        <v>129.118072889839</v>
      </c>
      <c r="F93" s="9">
        <f t="shared" si="9"/>
        <v>84.994787822597416</v>
      </c>
      <c r="G93" s="9">
        <f t="shared" si="10"/>
        <v>214.11286071243643</v>
      </c>
      <c r="H93" s="10">
        <f>D93-SUM($E$3:E93)</f>
        <v>45201.43543249544</v>
      </c>
      <c r="I93" s="5">
        <v>8</v>
      </c>
      <c r="J93" s="33"/>
      <c r="K93" s="10"/>
    </row>
    <row r="94" spans="1:11">
      <c r="A94" s="13">
        <f t="shared" si="11"/>
        <v>45139</v>
      </c>
      <c r="B94" s="5">
        <v>92</v>
      </c>
      <c r="C94" s="5">
        <f t="shared" si="6"/>
        <v>92</v>
      </c>
      <c r="D94" s="8">
        <f t="shared" si="7"/>
        <v>56014.400000000001</v>
      </c>
      <c r="E94" s="9">
        <f t="shared" si="8"/>
        <v>129.36016927650746</v>
      </c>
      <c r="F94" s="9">
        <f t="shared" si="9"/>
        <v>84.752691435928995</v>
      </c>
      <c r="G94" s="9">
        <f t="shared" si="10"/>
        <v>214.11286071243646</v>
      </c>
      <c r="H94" s="10">
        <f>D94-SUM($E$3:E94)</f>
        <v>45072.075263218932</v>
      </c>
      <c r="I94" s="5">
        <v>8</v>
      </c>
      <c r="J94" s="33"/>
      <c r="K94" s="10"/>
    </row>
    <row r="95" spans="1:11">
      <c r="A95" s="13">
        <f t="shared" si="11"/>
        <v>45170</v>
      </c>
      <c r="B95" s="5">
        <v>93</v>
      </c>
      <c r="C95" s="5">
        <f t="shared" si="6"/>
        <v>93</v>
      </c>
      <c r="D95" s="8">
        <f t="shared" si="7"/>
        <v>56014.400000000001</v>
      </c>
      <c r="E95" s="9">
        <f t="shared" si="8"/>
        <v>129.60271959390093</v>
      </c>
      <c r="F95" s="9">
        <f t="shared" si="9"/>
        <v>84.510141118535515</v>
      </c>
      <c r="G95" s="9">
        <f t="shared" si="10"/>
        <v>214.11286071243643</v>
      </c>
      <c r="H95" s="10">
        <f>D95-SUM($E$3:E95)</f>
        <v>44942.47254362503</v>
      </c>
      <c r="I95" s="5">
        <v>8</v>
      </c>
      <c r="J95" s="33"/>
      <c r="K95" s="10"/>
    </row>
    <row r="96" spans="1:11">
      <c r="A96" s="13">
        <f t="shared" si="11"/>
        <v>45200</v>
      </c>
      <c r="B96" s="5">
        <v>94</v>
      </c>
      <c r="C96" s="5">
        <f t="shared" si="6"/>
        <v>94</v>
      </c>
      <c r="D96" s="8">
        <f t="shared" si="7"/>
        <v>56014.400000000001</v>
      </c>
      <c r="E96" s="9">
        <f t="shared" si="8"/>
        <v>129.84572469313946</v>
      </c>
      <c r="F96" s="9">
        <f t="shared" si="9"/>
        <v>84.267136019296956</v>
      </c>
      <c r="G96" s="9">
        <f t="shared" si="10"/>
        <v>214.11286071243643</v>
      </c>
      <c r="H96" s="10">
        <f>D96-SUM($E$3:E96)</f>
        <v>44812.626818931894</v>
      </c>
      <c r="I96" s="5">
        <v>8</v>
      </c>
      <c r="J96" s="33"/>
      <c r="K96" s="10"/>
    </row>
    <row r="97" spans="1:11">
      <c r="A97" s="13">
        <f t="shared" si="11"/>
        <v>45231</v>
      </c>
      <c r="B97" s="5">
        <v>95</v>
      </c>
      <c r="C97" s="5">
        <f t="shared" si="6"/>
        <v>95</v>
      </c>
      <c r="D97" s="8">
        <f t="shared" si="7"/>
        <v>56014.400000000001</v>
      </c>
      <c r="E97" s="9">
        <f t="shared" si="8"/>
        <v>130.08918542693911</v>
      </c>
      <c r="F97" s="9">
        <f t="shared" si="9"/>
        <v>84.023675285497333</v>
      </c>
      <c r="G97" s="9">
        <f t="shared" si="10"/>
        <v>214.11286071243643</v>
      </c>
      <c r="H97" s="10">
        <f>D97-SUM($E$3:E97)</f>
        <v>44682.537633504951</v>
      </c>
      <c r="I97" s="5">
        <v>8</v>
      </c>
      <c r="J97" s="33"/>
      <c r="K97" s="10"/>
    </row>
    <row r="98" spans="1:11">
      <c r="A98" s="13">
        <f t="shared" si="11"/>
        <v>45261</v>
      </c>
      <c r="B98" s="5">
        <v>96</v>
      </c>
      <c r="C98" s="5">
        <f t="shared" si="6"/>
        <v>96</v>
      </c>
      <c r="D98" s="8">
        <f t="shared" si="7"/>
        <v>56014.400000000001</v>
      </c>
      <c r="E98" s="9">
        <f t="shared" si="8"/>
        <v>130.3331026496146</v>
      </c>
      <c r="F98" s="9">
        <f t="shared" si="9"/>
        <v>83.779758062821827</v>
      </c>
      <c r="G98" s="9">
        <f t="shared" si="10"/>
        <v>214.11286071243643</v>
      </c>
      <c r="H98" s="10">
        <f>D98-SUM($E$3:E98)</f>
        <v>44552.204530855335</v>
      </c>
      <c r="I98" s="5">
        <v>8</v>
      </c>
      <c r="J98" s="18"/>
      <c r="K98" s="10"/>
    </row>
    <row r="99" spans="1:11">
      <c r="A99" s="13">
        <f t="shared" si="11"/>
        <v>45292</v>
      </c>
      <c r="B99" s="5">
        <v>97</v>
      </c>
      <c r="C99" s="5">
        <f t="shared" si="6"/>
        <v>97</v>
      </c>
      <c r="D99" s="8">
        <f t="shared" si="7"/>
        <v>56014.400000000001</v>
      </c>
      <c r="E99" s="9">
        <f t="shared" si="8"/>
        <v>130.57747721708265</v>
      </c>
      <c r="F99" s="9">
        <f t="shared" si="9"/>
        <v>83.535383495353798</v>
      </c>
      <c r="G99" s="9">
        <f t="shared" si="10"/>
        <v>214.11286071243643</v>
      </c>
      <c r="H99" s="10">
        <f>D99-SUM($E$3:E99)</f>
        <v>44421.627053638258</v>
      </c>
      <c r="I99" s="5">
        <v>9</v>
      </c>
      <c r="J99" s="33"/>
      <c r="K99" s="10"/>
    </row>
    <row r="100" spans="1:11">
      <c r="A100" s="13">
        <f t="shared" si="11"/>
        <v>45323</v>
      </c>
      <c r="B100" s="5">
        <v>98</v>
      </c>
      <c r="C100" s="5">
        <f t="shared" si="6"/>
        <v>98</v>
      </c>
      <c r="D100" s="8">
        <f t="shared" si="7"/>
        <v>56014.400000000001</v>
      </c>
      <c r="E100" s="9">
        <f t="shared" si="8"/>
        <v>130.82230998686464</v>
      </c>
      <c r="F100" s="9">
        <f t="shared" si="9"/>
        <v>83.290550725571748</v>
      </c>
      <c r="G100" s="9">
        <f t="shared" si="10"/>
        <v>214.11286071243637</v>
      </c>
      <c r="H100" s="10">
        <f>D100-SUM($E$3:E100)</f>
        <v>44290.804743651388</v>
      </c>
      <c r="I100" s="5">
        <v>9</v>
      </c>
      <c r="J100" s="33"/>
      <c r="K100" s="10"/>
    </row>
    <row r="101" spans="1:11">
      <c r="A101" s="13">
        <f t="shared" si="11"/>
        <v>45352</v>
      </c>
      <c r="B101" s="5">
        <v>99</v>
      </c>
      <c r="C101" s="5">
        <f t="shared" si="6"/>
        <v>99</v>
      </c>
      <c r="D101" s="8">
        <f t="shared" si="7"/>
        <v>56014.400000000001</v>
      </c>
      <c r="E101" s="9">
        <f t="shared" si="8"/>
        <v>131.06760181809005</v>
      </c>
      <c r="F101" s="9">
        <f t="shared" si="9"/>
        <v>83.045258894346375</v>
      </c>
      <c r="G101" s="9">
        <f t="shared" si="10"/>
        <v>214.11286071243643</v>
      </c>
      <c r="H101" s="10">
        <f>D101-SUM($E$3:E101)</f>
        <v>44159.737141833306</v>
      </c>
      <c r="I101" s="5">
        <v>9</v>
      </c>
      <c r="J101" s="33"/>
      <c r="K101" s="10"/>
    </row>
    <row r="102" spans="1:11">
      <c r="A102" s="13">
        <f t="shared" si="11"/>
        <v>45383</v>
      </c>
      <c r="B102" s="5">
        <v>100</v>
      </c>
      <c r="C102" s="5">
        <f t="shared" si="6"/>
        <v>100</v>
      </c>
      <c r="D102" s="8">
        <f t="shared" si="7"/>
        <v>56014.400000000001</v>
      </c>
      <c r="E102" s="9">
        <f t="shared" si="8"/>
        <v>131.31335357149896</v>
      </c>
      <c r="F102" s="9">
        <f t="shared" si="9"/>
        <v>82.799507140937479</v>
      </c>
      <c r="G102" s="9">
        <f t="shared" si="10"/>
        <v>214.11286071243643</v>
      </c>
      <c r="H102" s="10">
        <f>D102-SUM($E$3:E102)</f>
        <v>44028.423788261804</v>
      </c>
      <c r="I102" s="5">
        <v>9</v>
      </c>
      <c r="J102" s="33"/>
      <c r="K102" s="10"/>
    </row>
    <row r="103" spans="1:11">
      <c r="A103" s="13">
        <f t="shared" si="11"/>
        <v>45413</v>
      </c>
      <c r="B103" s="5">
        <v>101</v>
      </c>
      <c r="C103" s="5">
        <f t="shared" si="6"/>
        <v>101</v>
      </c>
      <c r="D103" s="8">
        <f t="shared" si="7"/>
        <v>56014.400000000001</v>
      </c>
      <c r="E103" s="9">
        <f t="shared" si="8"/>
        <v>131.55956610944551</v>
      </c>
      <c r="F103" s="9">
        <f t="shared" si="9"/>
        <v>82.553294602990903</v>
      </c>
      <c r="G103" s="9">
        <f t="shared" si="10"/>
        <v>214.11286071243643</v>
      </c>
      <c r="H103" s="10">
        <f>D103-SUM($E$3:E103)</f>
        <v>43896.864222152362</v>
      </c>
      <c r="I103" s="5">
        <v>9</v>
      </c>
      <c r="J103" s="33"/>
      <c r="K103" s="10"/>
    </row>
    <row r="104" spans="1:11">
      <c r="A104" s="13">
        <f t="shared" si="11"/>
        <v>45444</v>
      </c>
      <c r="B104" s="5">
        <v>102</v>
      </c>
      <c r="C104" s="5">
        <f t="shared" si="6"/>
        <v>102</v>
      </c>
      <c r="D104" s="8">
        <f t="shared" si="7"/>
        <v>56014.400000000001</v>
      </c>
      <c r="E104" s="9">
        <f t="shared" si="8"/>
        <v>131.80624029590075</v>
      </c>
      <c r="F104" s="9">
        <f t="shared" si="9"/>
        <v>82.306620416535694</v>
      </c>
      <c r="G104" s="9">
        <f t="shared" si="10"/>
        <v>214.11286071243643</v>
      </c>
      <c r="H104" s="10">
        <f>D104-SUM($E$3:E104)</f>
        <v>43765.057981856458</v>
      </c>
      <c r="I104" s="5">
        <v>9</v>
      </c>
      <c r="J104" s="33"/>
      <c r="K104" s="10"/>
    </row>
    <row r="105" spans="1:11">
      <c r="A105" s="13">
        <f t="shared" si="11"/>
        <v>45474</v>
      </c>
      <c r="B105" s="5">
        <v>103</v>
      </c>
      <c r="C105" s="5">
        <f t="shared" si="6"/>
        <v>103</v>
      </c>
      <c r="D105" s="8">
        <f t="shared" si="7"/>
        <v>56014.400000000001</v>
      </c>
      <c r="E105" s="9">
        <f t="shared" si="8"/>
        <v>132.05337699645557</v>
      </c>
      <c r="F105" s="9">
        <f t="shared" si="9"/>
        <v>82.059483715980889</v>
      </c>
      <c r="G105" s="9">
        <f t="shared" si="10"/>
        <v>214.11286071243646</v>
      </c>
      <c r="H105" s="10">
        <f>D105-SUM($E$3:E105)</f>
        <v>43633.004604860005</v>
      </c>
      <c r="I105" s="5">
        <v>9</v>
      </c>
      <c r="J105" s="33"/>
      <c r="K105" s="10"/>
    </row>
    <row r="106" spans="1:11">
      <c r="A106" s="13">
        <f t="shared" si="11"/>
        <v>45505</v>
      </c>
      <c r="B106" s="5">
        <v>104</v>
      </c>
      <c r="C106" s="5">
        <f t="shared" si="6"/>
        <v>104</v>
      </c>
      <c r="D106" s="8">
        <f t="shared" si="7"/>
        <v>56014.400000000001</v>
      </c>
      <c r="E106" s="9">
        <f t="shared" si="8"/>
        <v>132.30097707832388</v>
      </c>
      <c r="F106" s="9">
        <f t="shared" si="9"/>
        <v>81.811883634112519</v>
      </c>
      <c r="G106" s="9">
        <f t="shared" si="10"/>
        <v>214.1128607124364</v>
      </c>
      <c r="H106" s="10">
        <f>D106-SUM($E$3:E106)</f>
        <v>43500.703627781681</v>
      </c>
      <c r="I106" s="5">
        <v>9</v>
      </c>
      <c r="J106" s="33"/>
      <c r="K106" s="10"/>
    </row>
    <row r="107" spans="1:11">
      <c r="A107" s="13">
        <f t="shared" si="11"/>
        <v>45536</v>
      </c>
      <c r="B107" s="5">
        <v>105</v>
      </c>
      <c r="C107" s="5">
        <f t="shared" si="6"/>
        <v>105</v>
      </c>
      <c r="D107" s="8">
        <f t="shared" si="7"/>
        <v>56014.400000000001</v>
      </c>
      <c r="E107" s="9">
        <f t="shared" si="8"/>
        <v>132.54904141034575</v>
      </c>
      <c r="F107" s="9">
        <f t="shared" si="9"/>
        <v>81.563819302090664</v>
      </c>
      <c r="G107" s="9">
        <f t="shared" si="10"/>
        <v>214.11286071243643</v>
      </c>
      <c r="H107" s="10">
        <f>D107-SUM($E$3:E107)</f>
        <v>43368.154586371333</v>
      </c>
      <c r="I107" s="5">
        <v>9</v>
      </c>
      <c r="J107" s="33"/>
      <c r="K107" s="10"/>
    </row>
    <row r="108" spans="1:11">
      <c r="A108" s="13">
        <f t="shared" si="11"/>
        <v>45566</v>
      </c>
      <c r="B108" s="5">
        <v>106</v>
      </c>
      <c r="C108" s="5">
        <f t="shared" si="6"/>
        <v>106</v>
      </c>
      <c r="D108" s="8">
        <f t="shared" si="7"/>
        <v>56014.400000000001</v>
      </c>
      <c r="E108" s="9">
        <f t="shared" si="8"/>
        <v>132.79757086299014</v>
      </c>
      <c r="F108" s="9">
        <f t="shared" si="9"/>
        <v>81.315289849446259</v>
      </c>
      <c r="G108" s="9">
        <f t="shared" si="10"/>
        <v>214.1128607124364</v>
      </c>
      <c r="H108" s="10">
        <f>D108-SUM($E$3:E108)</f>
        <v>43235.357015508343</v>
      </c>
      <c r="I108" s="5">
        <v>9</v>
      </c>
      <c r="J108" s="33"/>
      <c r="K108" s="10"/>
    </row>
    <row r="109" spans="1:11">
      <c r="A109" s="13">
        <f t="shared" si="11"/>
        <v>45597</v>
      </c>
      <c r="B109" s="5">
        <v>107</v>
      </c>
      <c r="C109" s="5">
        <f t="shared" si="6"/>
        <v>107</v>
      </c>
      <c r="D109" s="8">
        <f t="shared" si="7"/>
        <v>56014.400000000001</v>
      </c>
      <c r="E109" s="9">
        <f t="shared" si="8"/>
        <v>133.04656630835828</v>
      </c>
      <c r="F109" s="9">
        <f t="shared" si="9"/>
        <v>81.06629440407815</v>
      </c>
      <c r="G109" s="9">
        <f t="shared" si="10"/>
        <v>214.11286071243643</v>
      </c>
      <c r="H109" s="10">
        <f>D109-SUM($E$3:E109)</f>
        <v>43102.310449199984</v>
      </c>
      <c r="I109" s="5">
        <v>9</v>
      </c>
      <c r="J109" s="33"/>
      <c r="K109" s="10"/>
    </row>
    <row r="110" spans="1:11">
      <c r="A110" s="13">
        <f t="shared" si="11"/>
        <v>45627</v>
      </c>
      <c r="B110" s="5">
        <v>108</v>
      </c>
      <c r="C110" s="5">
        <f t="shared" si="6"/>
        <v>108</v>
      </c>
      <c r="D110" s="8">
        <f t="shared" si="7"/>
        <v>56014.400000000001</v>
      </c>
      <c r="E110" s="9">
        <f t="shared" si="8"/>
        <v>133.29602862018643</v>
      </c>
      <c r="F110" s="9">
        <f t="shared" si="9"/>
        <v>80.816832092249996</v>
      </c>
      <c r="G110" s="9">
        <f t="shared" si="10"/>
        <v>214.11286071243643</v>
      </c>
      <c r="H110" s="10">
        <f>D110-SUM($E$3:E110)</f>
        <v>42969.014420579799</v>
      </c>
      <c r="I110" s="5">
        <v>9</v>
      </c>
      <c r="J110" s="18"/>
      <c r="K110" s="18"/>
    </row>
    <row r="111" spans="1:11">
      <c r="A111" s="13">
        <f t="shared" si="11"/>
        <v>45658</v>
      </c>
      <c r="B111" s="5">
        <v>109</v>
      </c>
      <c r="C111" s="5">
        <f t="shared" si="6"/>
        <v>109</v>
      </c>
      <c r="D111" s="8">
        <f t="shared" si="7"/>
        <v>56014.400000000001</v>
      </c>
      <c r="E111" s="9">
        <f t="shared" si="8"/>
        <v>133.54595867384927</v>
      </c>
      <c r="F111" s="9">
        <f t="shared" si="9"/>
        <v>80.566902038587145</v>
      </c>
      <c r="G111" s="9">
        <f t="shared" si="10"/>
        <v>214.11286071243643</v>
      </c>
      <c r="H111" s="10">
        <f>D111-SUM($E$3:E111)</f>
        <v>42835.468461905948</v>
      </c>
      <c r="I111" s="5">
        <v>10</v>
      </c>
      <c r="J111" s="33"/>
      <c r="K111" s="33"/>
    </row>
    <row r="112" spans="1:11">
      <c r="A112" s="13">
        <f t="shared" si="11"/>
        <v>45689</v>
      </c>
      <c r="B112" s="5">
        <v>110</v>
      </c>
      <c r="C112" s="5">
        <f t="shared" si="6"/>
        <v>110</v>
      </c>
      <c r="D112" s="8">
        <f t="shared" si="7"/>
        <v>56014.400000000001</v>
      </c>
      <c r="E112" s="9">
        <f t="shared" si="8"/>
        <v>133.79635734636273</v>
      </c>
      <c r="F112" s="9">
        <f t="shared" si="9"/>
        <v>80.316503366073661</v>
      </c>
      <c r="G112" s="9">
        <f t="shared" si="10"/>
        <v>214.11286071243637</v>
      </c>
      <c r="H112" s="10">
        <f>D112-SUM($E$3:E112)</f>
        <v>42701.672104559591</v>
      </c>
      <c r="I112" s="5">
        <v>10</v>
      </c>
      <c r="J112" s="33"/>
      <c r="K112" s="33"/>
    </row>
    <row r="113" spans="1:11">
      <c r="A113" s="13">
        <f t="shared" si="11"/>
        <v>45717</v>
      </c>
      <c r="B113" s="5">
        <v>111</v>
      </c>
      <c r="C113" s="5">
        <f t="shared" si="6"/>
        <v>111</v>
      </c>
      <c r="D113" s="8">
        <f t="shared" si="7"/>
        <v>56014.400000000001</v>
      </c>
      <c r="E113" s="9">
        <f t="shared" si="8"/>
        <v>134.04722551638716</v>
      </c>
      <c r="F113" s="9">
        <f t="shared" si="9"/>
        <v>80.065635196049229</v>
      </c>
      <c r="G113" s="9">
        <f t="shared" si="10"/>
        <v>214.11286071243637</v>
      </c>
      <c r="H113" s="10">
        <f>D113-SUM($E$3:E113)</f>
        <v>42567.6248790432</v>
      </c>
      <c r="I113" s="5">
        <v>10</v>
      </c>
      <c r="J113" s="33"/>
      <c r="K113" s="33"/>
    </row>
    <row r="114" spans="1:11">
      <c r="A114" s="13">
        <f t="shared" si="11"/>
        <v>45748</v>
      </c>
      <c r="B114" s="5">
        <v>112</v>
      </c>
      <c r="C114" s="5">
        <f t="shared" si="6"/>
        <v>112</v>
      </c>
      <c r="D114" s="8">
        <f t="shared" si="7"/>
        <v>56014.400000000001</v>
      </c>
      <c r="E114" s="9">
        <f t="shared" si="8"/>
        <v>134.29856406423042</v>
      </c>
      <c r="F114" s="9">
        <f t="shared" si="9"/>
        <v>79.814296648206025</v>
      </c>
      <c r="G114" s="9">
        <f t="shared" si="10"/>
        <v>214.11286071243643</v>
      </c>
      <c r="H114" s="10">
        <f>D114-SUM($E$3:E114)</f>
        <v>42433.326314978971</v>
      </c>
      <c r="I114" s="5">
        <v>10</v>
      </c>
      <c r="J114" s="33"/>
      <c r="K114" s="33"/>
    </row>
    <row r="115" spans="1:11">
      <c r="A115" s="13">
        <f t="shared" si="11"/>
        <v>45778</v>
      </c>
      <c r="B115" s="5">
        <v>113</v>
      </c>
      <c r="C115" s="5">
        <f t="shared" si="6"/>
        <v>113</v>
      </c>
      <c r="D115" s="8">
        <f t="shared" si="7"/>
        <v>56014.400000000001</v>
      </c>
      <c r="E115" s="9">
        <f t="shared" si="8"/>
        <v>134.55037387185084</v>
      </c>
      <c r="F115" s="9">
        <f t="shared" si="9"/>
        <v>79.562486840585578</v>
      </c>
      <c r="G115" s="9">
        <f t="shared" si="10"/>
        <v>214.11286071243643</v>
      </c>
      <c r="H115" s="10">
        <f>D115-SUM($E$3:E115)</f>
        <v>42298.775941107117</v>
      </c>
      <c r="I115" s="5">
        <v>10</v>
      </c>
      <c r="J115" s="33"/>
      <c r="K115" s="33"/>
    </row>
    <row r="116" spans="1:11">
      <c r="A116" s="13">
        <f t="shared" si="11"/>
        <v>45809</v>
      </c>
      <c r="B116" s="5">
        <v>114</v>
      </c>
      <c r="C116" s="5">
        <f t="shared" si="6"/>
        <v>114</v>
      </c>
      <c r="D116" s="8">
        <f t="shared" si="7"/>
        <v>56014.400000000001</v>
      </c>
      <c r="E116" s="9">
        <f t="shared" si="8"/>
        <v>134.80265582286054</v>
      </c>
      <c r="F116" s="9">
        <f t="shared" si="9"/>
        <v>79.310204889575857</v>
      </c>
      <c r="G116" s="9">
        <f t="shared" si="10"/>
        <v>214.1128607124364</v>
      </c>
      <c r="H116" s="10">
        <f>D116-SUM($E$3:E116)</f>
        <v>42163.973285284257</v>
      </c>
      <c r="I116" s="5">
        <v>10</v>
      </c>
      <c r="J116" s="33"/>
      <c r="K116" s="33"/>
    </row>
    <row r="117" spans="1:11">
      <c r="A117" s="13">
        <f t="shared" si="11"/>
        <v>45839</v>
      </c>
      <c r="B117" s="5">
        <v>115</v>
      </c>
      <c r="C117" s="5">
        <f t="shared" si="6"/>
        <v>115</v>
      </c>
      <c r="D117" s="8">
        <f t="shared" si="7"/>
        <v>56014.400000000001</v>
      </c>
      <c r="E117" s="9">
        <f t="shared" si="8"/>
        <v>135.05541080252846</v>
      </c>
      <c r="F117" s="9">
        <f t="shared" si="9"/>
        <v>79.057449909908001</v>
      </c>
      <c r="G117" s="9">
        <f t="shared" si="10"/>
        <v>214.11286071243646</v>
      </c>
      <c r="H117" s="10">
        <f>D117-SUM($E$3:E117)</f>
        <v>42028.917874481733</v>
      </c>
      <c r="I117" s="5">
        <v>10</v>
      </c>
      <c r="J117" s="33"/>
      <c r="K117" s="33"/>
    </row>
    <row r="118" spans="1:11">
      <c r="A118" s="13">
        <f t="shared" si="11"/>
        <v>45870</v>
      </c>
      <c r="B118" s="5">
        <v>116</v>
      </c>
      <c r="C118" s="5">
        <f t="shared" si="6"/>
        <v>116</v>
      </c>
      <c r="D118" s="8">
        <f t="shared" si="7"/>
        <v>56014.400000000001</v>
      </c>
      <c r="E118" s="9">
        <f t="shared" si="8"/>
        <v>135.30863969778318</v>
      </c>
      <c r="F118" s="9">
        <f t="shared" si="9"/>
        <v>78.804221014653265</v>
      </c>
      <c r="G118" s="9">
        <f t="shared" si="10"/>
        <v>214.11286071243643</v>
      </c>
      <c r="H118" s="10">
        <f>D118-SUM($E$3:E118)</f>
        <v>41893.609234783944</v>
      </c>
      <c r="I118" s="5">
        <v>10</v>
      </c>
      <c r="J118" s="33"/>
      <c r="K118" s="33"/>
    </row>
    <row r="119" spans="1:11">
      <c r="A119" s="13">
        <f t="shared" si="11"/>
        <v>45901</v>
      </c>
      <c r="B119" s="5">
        <v>117</v>
      </c>
      <c r="C119" s="5">
        <f t="shared" si="6"/>
        <v>117</v>
      </c>
      <c r="D119" s="8">
        <f t="shared" si="7"/>
        <v>56014.400000000001</v>
      </c>
      <c r="E119" s="9">
        <f t="shared" si="8"/>
        <v>135.56234339721649</v>
      </c>
      <c r="F119" s="9">
        <f t="shared" si="9"/>
        <v>78.550517315219921</v>
      </c>
      <c r="G119" s="9">
        <f t="shared" si="10"/>
        <v>214.11286071243643</v>
      </c>
      <c r="H119" s="10">
        <f>D119-SUM($E$3:E119)</f>
        <v>41758.04689138673</v>
      </c>
      <c r="I119" s="5">
        <v>10</v>
      </c>
      <c r="J119" s="33"/>
      <c r="K119" s="33"/>
    </row>
    <row r="120" spans="1:11">
      <c r="A120" s="13">
        <f t="shared" si="11"/>
        <v>45931</v>
      </c>
      <c r="B120" s="5">
        <v>118</v>
      </c>
      <c r="C120" s="5">
        <f t="shared" si="6"/>
        <v>118</v>
      </c>
      <c r="D120" s="8">
        <f t="shared" si="7"/>
        <v>56014.400000000001</v>
      </c>
      <c r="E120" s="9">
        <f t="shared" si="8"/>
        <v>135.81652279108627</v>
      </c>
      <c r="F120" s="9">
        <f t="shared" si="9"/>
        <v>78.296337921350144</v>
      </c>
      <c r="G120" s="9">
        <f t="shared" si="10"/>
        <v>214.11286071243643</v>
      </c>
      <c r="H120" s="10">
        <f>D120-SUM($E$3:E120)</f>
        <v>41622.230368595643</v>
      </c>
      <c r="I120" s="5">
        <v>10</v>
      </c>
      <c r="J120" s="33"/>
      <c r="K120" s="33"/>
    </row>
    <row r="121" spans="1:11">
      <c r="A121" s="13">
        <f t="shared" si="11"/>
        <v>45962</v>
      </c>
      <c r="B121" s="5">
        <v>119</v>
      </c>
      <c r="C121" s="5">
        <f t="shared" si="6"/>
        <v>119</v>
      </c>
      <c r="D121" s="8">
        <f t="shared" si="7"/>
        <v>56014.400000000001</v>
      </c>
      <c r="E121" s="9">
        <f t="shared" si="8"/>
        <v>136.07117877131958</v>
      </c>
      <c r="F121" s="9">
        <f t="shared" si="9"/>
        <v>78.041681941116849</v>
      </c>
      <c r="G121" s="9">
        <f t="shared" si="10"/>
        <v>214.11286071243643</v>
      </c>
      <c r="H121" s="10">
        <f>D121-SUM($E$3:E121)</f>
        <v>41486.15918982432</v>
      </c>
      <c r="I121" s="5">
        <v>10</v>
      </c>
      <c r="J121" s="33"/>
      <c r="K121" s="33"/>
    </row>
    <row r="122" spans="1:11">
      <c r="A122" s="13">
        <f t="shared" si="11"/>
        <v>45992</v>
      </c>
      <c r="B122" s="5">
        <v>120</v>
      </c>
      <c r="C122" s="5">
        <f t="shared" si="6"/>
        <v>120</v>
      </c>
      <c r="D122" s="8">
        <f t="shared" si="7"/>
        <v>56014.400000000001</v>
      </c>
      <c r="E122" s="9">
        <f t="shared" si="8"/>
        <v>136.3263122315158</v>
      </c>
      <c r="F122" s="9">
        <f t="shared" si="9"/>
        <v>77.786548480920629</v>
      </c>
      <c r="G122" s="9">
        <f t="shared" si="10"/>
        <v>214.11286071243643</v>
      </c>
      <c r="H122" s="10">
        <f>D122-SUM($E$3:E122)</f>
        <v>41349.832877592809</v>
      </c>
      <c r="I122" s="5">
        <v>10</v>
      </c>
      <c r="J122" s="18"/>
      <c r="K122" s="18"/>
    </row>
    <row r="123" spans="1:11">
      <c r="A123" s="13">
        <f t="shared" si="11"/>
        <v>46023</v>
      </c>
      <c r="B123" s="5">
        <v>121</v>
      </c>
      <c r="C123" s="5">
        <f t="shared" si="6"/>
        <v>121</v>
      </c>
      <c r="D123" s="8">
        <f t="shared" si="7"/>
        <v>56014.400000000001</v>
      </c>
      <c r="E123" s="9">
        <f t="shared" si="8"/>
        <v>136.58192406694988</v>
      </c>
      <c r="F123" s="9">
        <f t="shared" si="9"/>
        <v>77.530936645486534</v>
      </c>
      <c r="G123" s="9">
        <f t="shared" si="10"/>
        <v>214.11286071243643</v>
      </c>
      <c r="H123" s="10">
        <f>D123-SUM($E$3:E123)</f>
        <v>41213.250953525858</v>
      </c>
      <c r="I123" s="5">
        <v>11</v>
      </c>
      <c r="J123" s="33"/>
      <c r="K123" s="33"/>
    </row>
    <row r="124" spans="1:11">
      <c r="A124" s="13">
        <f t="shared" si="11"/>
        <v>46054</v>
      </c>
      <c r="B124" s="5">
        <v>122</v>
      </c>
      <c r="C124" s="5">
        <f t="shared" si="6"/>
        <v>122</v>
      </c>
      <c r="D124" s="8">
        <f t="shared" si="7"/>
        <v>56014.400000000001</v>
      </c>
      <c r="E124" s="9">
        <f t="shared" si="8"/>
        <v>136.83801517457542</v>
      </c>
      <c r="F124" s="9">
        <f t="shared" si="9"/>
        <v>77.274845537861012</v>
      </c>
      <c r="G124" s="9">
        <f t="shared" si="10"/>
        <v>214.11286071243643</v>
      </c>
      <c r="H124" s="10">
        <f>D124-SUM($E$3:E124)</f>
        <v>41076.412938351285</v>
      </c>
      <c r="I124" s="5">
        <v>11</v>
      </c>
      <c r="J124" s="33"/>
      <c r="K124" s="33"/>
    </row>
    <row r="125" spans="1:11">
      <c r="A125" s="13">
        <f t="shared" si="11"/>
        <v>46082</v>
      </c>
      <c r="B125" s="5">
        <v>123</v>
      </c>
      <c r="C125" s="5">
        <f t="shared" si="6"/>
        <v>123</v>
      </c>
      <c r="D125" s="8">
        <f t="shared" si="7"/>
        <v>56014.400000000001</v>
      </c>
      <c r="E125" s="9">
        <f t="shared" si="8"/>
        <v>137.09458645302774</v>
      </c>
      <c r="F125" s="9">
        <f t="shared" si="9"/>
        <v>77.018274259408685</v>
      </c>
      <c r="G125" s="9">
        <f t="shared" si="10"/>
        <v>214.11286071243643</v>
      </c>
      <c r="H125" s="10">
        <f>D125-SUM($E$3:E125)</f>
        <v>40939.318351898255</v>
      </c>
      <c r="I125" s="5">
        <v>11</v>
      </c>
      <c r="J125" s="33"/>
      <c r="K125" s="33"/>
    </row>
    <row r="126" spans="1:11">
      <c r="A126" s="13">
        <f t="shared" si="11"/>
        <v>46113</v>
      </c>
      <c r="B126" s="5">
        <v>124</v>
      </c>
      <c r="C126" s="5">
        <f t="shared" si="6"/>
        <v>124</v>
      </c>
      <c r="D126" s="8">
        <f t="shared" si="7"/>
        <v>56014.400000000001</v>
      </c>
      <c r="E126" s="9">
        <f t="shared" si="8"/>
        <v>137.35163880262718</v>
      </c>
      <c r="F126" s="9">
        <f t="shared" si="9"/>
        <v>76.761221909809251</v>
      </c>
      <c r="G126" s="9">
        <f t="shared" si="10"/>
        <v>214.11286071243643</v>
      </c>
      <c r="H126" s="10">
        <f>D126-SUM($E$3:E126)</f>
        <v>40801.96671309563</v>
      </c>
      <c r="I126" s="5">
        <v>11</v>
      </c>
      <c r="J126" s="33"/>
      <c r="K126" s="33"/>
    </row>
    <row r="127" spans="1:11">
      <c r="A127" s="13">
        <f t="shared" si="11"/>
        <v>46143</v>
      </c>
      <c r="B127" s="5">
        <v>125</v>
      </c>
      <c r="C127" s="5">
        <f t="shared" si="6"/>
        <v>125</v>
      </c>
      <c r="D127" s="8">
        <f t="shared" si="7"/>
        <v>56014.400000000001</v>
      </c>
      <c r="E127" s="9">
        <f t="shared" si="8"/>
        <v>137.60917312538211</v>
      </c>
      <c r="F127" s="9">
        <f t="shared" si="9"/>
        <v>76.503687587054316</v>
      </c>
      <c r="G127" s="9">
        <f t="shared" si="10"/>
        <v>214.11286071243643</v>
      </c>
      <c r="H127" s="10">
        <f>D127-SUM($E$3:E127)</f>
        <v>40664.357539970246</v>
      </c>
      <c r="I127" s="5">
        <v>11</v>
      </c>
      <c r="J127" s="33"/>
      <c r="K127" s="33"/>
    </row>
    <row r="128" spans="1:11">
      <c r="A128" s="13">
        <f t="shared" si="11"/>
        <v>46174</v>
      </c>
      <c r="B128" s="5">
        <v>126</v>
      </c>
      <c r="C128" s="5">
        <f t="shared" si="6"/>
        <v>126</v>
      </c>
      <c r="D128" s="8">
        <f t="shared" si="7"/>
        <v>56014.400000000001</v>
      </c>
      <c r="E128" s="9">
        <f t="shared" si="8"/>
        <v>137.86719032499218</v>
      </c>
      <c r="F128" s="9">
        <f t="shared" si="9"/>
        <v>76.245670387444221</v>
      </c>
      <c r="G128" s="9">
        <f t="shared" si="10"/>
        <v>214.1128607124364</v>
      </c>
      <c r="H128" s="10">
        <f>D128-SUM($E$3:E128)</f>
        <v>40526.490349645253</v>
      </c>
      <c r="I128" s="5">
        <v>11</v>
      </c>
      <c r="J128" s="33"/>
      <c r="K128" s="33"/>
    </row>
    <row r="129" spans="1:11">
      <c r="A129" s="13">
        <f t="shared" si="11"/>
        <v>46204</v>
      </c>
      <c r="B129" s="5">
        <v>127</v>
      </c>
      <c r="C129" s="5">
        <f t="shared" si="6"/>
        <v>127</v>
      </c>
      <c r="D129" s="8">
        <f t="shared" si="7"/>
        <v>56014.400000000001</v>
      </c>
      <c r="E129" s="9">
        <f t="shared" si="8"/>
        <v>138.12569130685154</v>
      </c>
      <c r="F129" s="9">
        <f t="shared" si="9"/>
        <v>75.987169405584865</v>
      </c>
      <c r="G129" s="9">
        <f t="shared" si="10"/>
        <v>214.1128607124364</v>
      </c>
      <c r="H129" s="10">
        <f>D129-SUM($E$3:E129)</f>
        <v>40388.364658338403</v>
      </c>
      <c r="I129" s="5">
        <v>11</v>
      </c>
      <c r="J129" s="33"/>
      <c r="K129" s="33"/>
    </row>
    <row r="130" spans="1:11">
      <c r="A130" s="13">
        <f t="shared" si="11"/>
        <v>46235</v>
      </c>
      <c r="B130" s="5">
        <v>128</v>
      </c>
      <c r="C130" s="5">
        <f t="shared" si="6"/>
        <v>128</v>
      </c>
      <c r="D130" s="8">
        <f t="shared" si="7"/>
        <v>56014.400000000001</v>
      </c>
      <c r="E130" s="9">
        <f t="shared" si="8"/>
        <v>138.38467697805191</v>
      </c>
      <c r="F130" s="9">
        <f t="shared" si="9"/>
        <v>75.728183734384515</v>
      </c>
      <c r="G130" s="9">
        <f t="shared" si="10"/>
        <v>214.11286071243643</v>
      </c>
      <c r="H130" s="10">
        <f>D130-SUM($E$3:E130)</f>
        <v>40249.979981360346</v>
      </c>
      <c r="I130" s="5">
        <v>11</v>
      </c>
      <c r="J130" s="33"/>
      <c r="K130" s="33"/>
    </row>
    <row r="131" spans="1:11">
      <c r="A131" s="13">
        <f t="shared" si="11"/>
        <v>46266</v>
      </c>
      <c r="B131" s="5">
        <v>129</v>
      </c>
      <c r="C131" s="5">
        <f t="shared" ref="C131:C194" si="12">IF(B131&lt;=$O$7,0,C130+1)</f>
        <v>129</v>
      </c>
      <c r="D131" s="8">
        <f t="shared" ref="D131:D194" si="13">$L$3</f>
        <v>56014.400000000001</v>
      </c>
      <c r="E131" s="9">
        <f t="shared" ref="E131:E194" si="14">IF(C131=0,0,-PPMT($L$4/12,$C131,$L$5*12,D131,0))</f>
        <v>138.64414824738574</v>
      </c>
      <c r="F131" s="9">
        <f t="shared" ref="F131:F194" si="15">IF(C131=0,D131*$L$4/12,-IPMT($L$4/12,C131,$L$5*12,D131,0))</f>
        <v>75.468712465050672</v>
      </c>
      <c r="G131" s="9">
        <f t="shared" ref="G131:G194" si="16">+E131+F131</f>
        <v>214.11286071243643</v>
      </c>
      <c r="H131" s="10">
        <f>D131-SUM($E$3:E131)</f>
        <v>40111.335833112964</v>
      </c>
      <c r="I131" s="5">
        <v>11</v>
      </c>
      <c r="J131" s="33"/>
      <c r="K131" s="33"/>
    </row>
    <row r="132" spans="1:11">
      <c r="A132" s="13">
        <f t="shared" ref="A132:A195" si="17">+EDATE(A131,1)</f>
        <v>46296</v>
      </c>
      <c r="B132" s="5">
        <v>130</v>
      </c>
      <c r="C132" s="5">
        <f t="shared" si="12"/>
        <v>130</v>
      </c>
      <c r="D132" s="8">
        <f t="shared" si="13"/>
        <v>56014.400000000001</v>
      </c>
      <c r="E132" s="9">
        <f t="shared" si="14"/>
        <v>138.90410602534959</v>
      </c>
      <c r="F132" s="9">
        <f t="shared" si="15"/>
        <v>75.208754687086838</v>
      </c>
      <c r="G132" s="9">
        <f t="shared" si="16"/>
        <v>214.11286071243643</v>
      </c>
      <c r="H132" s="10">
        <f>D132-SUM($E$3:E132)</f>
        <v>39972.431727087613</v>
      </c>
      <c r="I132" s="5">
        <v>11</v>
      </c>
      <c r="J132" s="33"/>
      <c r="K132" s="33"/>
    </row>
    <row r="133" spans="1:11">
      <c r="A133" s="13">
        <f t="shared" si="17"/>
        <v>46327</v>
      </c>
      <c r="B133" s="5">
        <v>131</v>
      </c>
      <c r="C133" s="5">
        <f t="shared" si="12"/>
        <v>131</v>
      </c>
      <c r="D133" s="8">
        <f t="shared" si="13"/>
        <v>56014.400000000001</v>
      </c>
      <c r="E133" s="9">
        <f t="shared" si="14"/>
        <v>139.16455122414715</v>
      </c>
      <c r="F133" s="9">
        <f t="shared" si="15"/>
        <v>74.948309488289297</v>
      </c>
      <c r="G133" s="9">
        <f t="shared" si="16"/>
        <v>214.11286071243643</v>
      </c>
      <c r="H133" s="10">
        <f>D133-SUM($E$3:E133)</f>
        <v>39833.267175863468</v>
      </c>
      <c r="I133" s="5">
        <v>11</v>
      </c>
      <c r="J133" s="33"/>
      <c r="K133" s="33"/>
    </row>
    <row r="134" spans="1:11">
      <c r="A134" s="13">
        <f t="shared" si="17"/>
        <v>46357</v>
      </c>
      <c r="B134" s="5">
        <v>132</v>
      </c>
      <c r="C134" s="5">
        <f t="shared" si="12"/>
        <v>132</v>
      </c>
      <c r="D134" s="8">
        <f t="shared" si="13"/>
        <v>56014.400000000001</v>
      </c>
      <c r="E134" s="9">
        <f t="shared" si="14"/>
        <v>139.4254847576924</v>
      </c>
      <c r="F134" s="9">
        <f t="shared" si="15"/>
        <v>74.687375954744013</v>
      </c>
      <c r="G134" s="9">
        <f t="shared" si="16"/>
        <v>214.11286071243643</v>
      </c>
      <c r="H134" s="10">
        <f>D134-SUM($E$3:E134)</f>
        <v>39693.841691105772</v>
      </c>
      <c r="I134" s="5">
        <v>11</v>
      </c>
      <c r="J134" s="18"/>
      <c r="K134" s="33"/>
    </row>
    <row r="135" spans="1:11">
      <c r="A135" s="13">
        <f t="shared" si="17"/>
        <v>46388</v>
      </c>
      <c r="B135" s="5">
        <v>133</v>
      </c>
      <c r="C135" s="5">
        <f t="shared" si="12"/>
        <v>133</v>
      </c>
      <c r="D135" s="8">
        <f t="shared" si="13"/>
        <v>56014.400000000001</v>
      </c>
      <c r="E135" s="9">
        <f t="shared" si="14"/>
        <v>139.68690754161307</v>
      </c>
      <c r="F135" s="9">
        <f t="shared" si="15"/>
        <v>74.425953170823348</v>
      </c>
      <c r="G135" s="9">
        <f t="shared" si="16"/>
        <v>214.11286071243643</v>
      </c>
      <c r="H135" s="10">
        <f>D135-SUM($E$3:E135)</f>
        <v>39554.154783564161</v>
      </c>
      <c r="I135" s="5">
        <v>12</v>
      </c>
      <c r="J135" s="33"/>
      <c r="K135" s="33"/>
    </row>
    <row r="136" spans="1:11">
      <c r="A136" s="13">
        <f t="shared" si="17"/>
        <v>46419</v>
      </c>
      <c r="B136" s="5">
        <v>134</v>
      </c>
      <c r="C136" s="5">
        <f t="shared" si="12"/>
        <v>134</v>
      </c>
      <c r="D136" s="8">
        <f t="shared" si="13"/>
        <v>56014.400000000001</v>
      </c>
      <c r="E136" s="9">
        <f t="shared" si="14"/>
        <v>139.94882049325361</v>
      </c>
      <c r="F136" s="9">
        <f t="shared" si="15"/>
        <v>74.164040219182823</v>
      </c>
      <c r="G136" s="9">
        <f t="shared" si="16"/>
        <v>214.11286071243643</v>
      </c>
      <c r="H136" s="10">
        <f>D136-SUM($E$3:E136)</f>
        <v>39414.205963070912</v>
      </c>
      <c r="I136" s="5">
        <v>12</v>
      </c>
      <c r="J136" s="33"/>
      <c r="K136" s="33"/>
    </row>
    <row r="137" spans="1:11">
      <c r="A137" s="13">
        <f t="shared" si="17"/>
        <v>46447</v>
      </c>
      <c r="B137" s="5">
        <v>135</v>
      </c>
      <c r="C137" s="5">
        <f t="shared" si="12"/>
        <v>135</v>
      </c>
      <c r="D137" s="8">
        <f t="shared" si="13"/>
        <v>56014.400000000001</v>
      </c>
      <c r="E137" s="9">
        <f t="shared" si="14"/>
        <v>140.21122453167845</v>
      </c>
      <c r="F137" s="9">
        <f t="shared" si="15"/>
        <v>73.901636180757976</v>
      </c>
      <c r="G137" s="9">
        <f t="shared" si="16"/>
        <v>214.11286071243643</v>
      </c>
      <c r="H137" s="10">
        <f>D137-SUM($E$3:E137)</f>
        <v>39273.99473853923</v>
      </c>
      <c r="I137" s="5">
        <v>12</v>
      </c>
      <c r="J137" s="33"/>
      <c r="K137" s="33"/>
    </row>
    <row r="138" spans="1:11">
      <c r="A138" s="13">
        <f t="shared" si="17"/>
        <v>46478</v>
      </c>
      <c r="B138" s="5">
        <v>136</v>
      </c>
      <c r="C138" s="5">
        <f t="shared" si="12"/>
        <v>136</v>
      </c>
      <c r="D138" s="8">
        <f t="shared" si="13"/>
        <v>56014.400000000001</v>
      </c>
      <c r="E138" s="9">
        <f t="shared" si="14"/>
        <v>140.47412057767536</v>
      </c>
      <c r="F138" s="9">
        <f t="shared" si="15"/>
        <v>73.638740134761079</v>
      </c>
      <c r="G138" s="9">
        <f t="shared" si="16"/>
        <v>214.11286071243643</v>
      </c>
      <c r="H138" s="10">
        <f>D138-SUM($E$3:E138)</f>
        <v>39133.520617961556</v>
      </c>
      <c r="I138" s="5">
        <v>12</v>
      </c>
      <c r="J138" s="33"/>
      <c r="K138" s="33"/>
    </row>
    <row r="139" spans="1:11">
      <c r="A139" s="13">
        <f t="shared" si="17"/>
        <v>46508</v>
      </c>
      <c r="B139" s="5">
        <v>137</v>
      </c>
      <c r="C139" s="5">
        <f t="shared" si="12"/>
        <v>137</v>
      </c>
      <c r="D139" s="8">
        <f t="shared" si="13"/>
        <v>56014.400000000001</v>
      </c>
      <c r="E139" s="9">
        <f t="shared" si="14"/>
        <v>140.73750955375849</v>
      </c>
      <c r="F139" s="9">
        <f t="shared" si="15"/>
        <v>73.37535115867793</v>
      </c>
      <c r="G139" s="9">
        <f t="shared" si="16"/>
        <v>214.11286071243643</v>
      </c>
      <c r="H139" s="10">
        <f>D139-SUM($E$3:E139)</f>
        <v>38992.783108407799</v>
      </c>
      <c r="I139" s="5">
        <v>12</v>
      </c>
      <c r="J139" s="33"/>
      <c r="K139" s="33"/>
    </row>
    <row r="140" spans="1:11">
      <c r="A140" s="13">
        <f t="shared" si="17"/>
        <v>46539</v>
      </c>
      <c r="B140" s="5">
        <v>138</v>
      </c>
      <c r="C140" s="5">
        <f t="shared" si="12"/>
        <v>138</v>
      </c>
      <c r="D140" s="8">
        <f t="shared" si="13"/>
        <v>56014.400000000001</v>
      </c>
      <c r="E140" s="9">
        <f t="shared" si="14"/>
        <v>141.00139238417179</v>
      </c>
      <c r="F140" s="9">
        <f t="shared" si="15"/>
        <v>73.111468328264635</v>
      </c>
      <c r="G140" s="9">
        <f t="shared" si="16"/>
        <v>214.11286071243643</v>
      </c>
      <c r="H140" s="10">
        <f>D140-SUM($E$3:E140)</f>
        <v>38851.78171602363</v>
      </c>
      <c r="I140" s="5">
        <v>12</v>
      </c>
      <c r="J140" s="33"/>
      <c r="K140" s="33"/>
    </row>
    <row r="141" spans="1:11">
      <c r="A141" s="13">
        <f t="shared" si="17"/>
        <v>46569</v>
      </c>
      <c r="B141" s="5">
        <v>139</v>
      </c>
      <c r="C141" s="5">
        <f t="shared" si="12"/>
        <v>139</v>
      </c>
      <c r="D141" s="8">
        <f t="shared" si="13"/>
        <v>56014.400000000001</v>
      </c>
      <c r="E141" s="9">
        <f t="shared" si="14"/>
        <v>141.26576999489211</v>
      </c>
      <c r="F141" s="9">
        <f t="shared" si="15"/>
        <v>72.847090717544305</v>
      </c>
      <c r="G141" s="9">
        <f t="shared" si="16"/>
        <v>214.11286071243643</v>
      </c>
      <c r="H141" s="10">
        <f>D141-SUM($E$3:E141)</f>
        <v>38710.51594602874</v>
      </c>
      <c r="I141" s="5">
        <v>12</v>
      </c>
      <c r="J141" s="33"/>
      <c r="K141" s="33"/>
    </row>
    <row r="142" spans="1:11">
      <c r="A142" s="13">
        <f t="shared" si="17"/>
        <v>46600</v>
      </c>
      <c r="B142" s="5">
        <v>140</v>
      </c>
      <c r="C142" s="5">
        <f t="shared" si="12"/>
        <v>140</v>
      </c>
      <c r="D142" s="8">
        <f t="shared" si="13"/>
        <v>56014.400000000001</v>
      </c>
      <c r="E142" s="9">
        <f t="shared" si="14"/>
        <v>141.53064331363254</v>
      </c>
      <c r="F142" s="9">
        <f t="shared" si="15"/>
        <v>72.582217398803891</v>
      </c>
      <c r="G142" s="9">
        <f t="shared" si="16"/>
        <v>214.11286071243643</v>
      </c>
      <c r="H142" s="10">
        <f>D142-SUM($E$3:E142)</f>
        <v>38568.985302715104</v>
      </c>
      <c r="I142" s="5">
        <v>12</v>
      </c>
      <c r="J142" s="33"/>
      <c r="K142" s="33"/>
    </row>
    <row r="143" spans="1:11">
      <c r="A143" s="13">
        <f t="shared" si="17"/>
        <v>46631</v>
      </c>
      <c r="B143" s="5">
        <v>141</v>
      </c>
      <c r="C143" s="5">
        <f t="shared" si="12"/>
        <v>141</v>
      </c>
      <c r="D143" s="8">
        <f t="shared" si="13"/>
        <v>56014.400000000001</v>
      </c>
      <c r="E143" s="9">
        <f t="shared" si="14"/>
        <v>141.79601326984559</v>
      </c>
      <c r="F143" s="9">
        <f t="shared" si="15"/>
        <v>72.316847442590827</v>
      </c>
      <c r="G143" s="9">
        <f t="shared" si="16"/>
        <v>214.11286071243643</v>
      </c>
      <c r="H143" s="10">
        <f>D143-SUM($E$3:E143)</f>
        <v>38427.189289445261</v>
      </c>
      <c r="I143" s="5">
        <v>12</v>
      </c>
      <c r="J143" s="33"/>
      <c r="K143" s="33"/>
    </row>
    <row r="144" spans="1:11">
      <c r="A144" s="13">
        <f t="shared" si="17"/>
        <v>46661</v>
      </c>
      <c r="B144" s="5">
        <v>142</v>
      </c>
      <c r="C144" s="5">
        <f t="shared" si="12"/>
        <v>142</v>
      </c>
      <c r="D144" s="8">
        <f t="shared" si="13"/>
        <v>56014.400000000001</v>
      </c>
      <c r="E144" s="9">
        <f t="shared" si="14"/>
        <v>142.06188079472653</v>
      </c>
      <c r="F144" s="9">
        <f t="shared" si="15"/>
        <v>72.050979917709867</v>
      </c>
      <c r="G144" s="9">
        <f t="shared" si="16"/>
        <v>214.1128607124364</v>
      </c>
      <c r="H144" s="10">
        <f>D144-SUM($E$3:E144)</f>
        <v>38285.127408650529</v>
      </c>
      <c r="I144" s="5">
        <v>12</v>
      </c>
      <c r="J144" s="33"/>
      <c r="K144" s="33"/>
    </row>
    <row r="145" spans="1:11">
      <c r="A145" s="13">
        <f t="shared" si="17"/>
        <v>46692</v>
      </c>
      <c r="B145" s="5">
        <v>143</v>
      </c>
      <c r="C145" s="5">
        <f t="shared" si="12"/>
        <v>143</v>
      </c>
      <c r="D145" s="8">
        <f t="shared" si="13"/>
        <v>56014.400000000001</v>
      </c>
      <c r="E145" s="9">
        <f t="shared" si="14"/>
        <v>142.32824682121665</v>
      </c>
      <c r="F145" s="9">
        <f t="shared" si="15"/>
        <v>71.784613891219763</v>
      </c>
      <c r="G145" s="9">
        <f t="shared" si="16"/>
        <v>214.11286071243643</v>
      </c>
      <c r="H145" s="10">
        <f>D145-SUM($E$3:E145)</f>
        <v>38142.799161829316</v>
      </c>
      <c r="I145" s="5">
        <v>12</v>
      </c>
      <c r="J145" s="33"/>
      <c r="K145" s="33"/>
    </row>
    <row r="146" spans="1:11">
      <c r="A146" s="13">
        <f t="shared" si="17"/>
        <v>46722</v>
      </c>
      <c r="B146" s="5">
        <v>144</v>
      </c>
      <c r="C146" s="5">
        <f t="shared" si="12"/>
        <v>144</v>
      </c>
      <c r="D146" s="8">
        <f t="shared" si="13"/>
        <v>56014.400000000001</v>
      </c>
      <c r="E146" s="9">
        <f t="shared" si="14"/>
        <v>142.59511228400643</v>
      </c>
      <c r="F146" s="9">
        <f t="shared" si="15"/>
        <v>71.517748428429968</v>
      </c>
      <c r="G146" s="9">
        <f t="shared" si="16"/>
        <v>214.1128607124364</v>
      </c>
      <c r="H146" s="10">
        <f>D146-SUM($E$3:E146)</f>
        <v>38000.204049545311</v>
      </c>
      <c r="I146" s="5">
        <v>12</v>
      </c>
      <c r="J146" s="33"/>
      <c r="K146" s="33"/>
    </row>
    <row r="147" spans="1:11">
      <c r="A147" s="13">
        <f t="shared" si="17"/>
        <v>46753</v>
      </c>
      <c r="B147" s="5">
        <v>145</v>
      </c>
      <c r="C147" s="5">
        <f t="shared" si="12"/>
        <v>145</v>
      </c>
      <c r="D147" s="8">
        <f t="shared" si="13"/>
        <v>56014.400000000001</v>
      </c>
      <c r="E147" s="9">
        <f t="shared" si="14"/>
        <v>142.86247811953893</v>
      </c>
      <c r="F147" s="9">
        <f t="shared" si="15"/>
        <v>71.250382592897452</v>
      </c>
      <c r="G147" s="9">
        <f t="shared" si="16"/>
        <v>214.11286071243637</v>
      </c>
      <c r="H147" s="10">
        <f>D147-SUM($E$3:E147)</f>
        <v>37857.341571425772</v>
      </c>
      <c r="I147" s="5">
        <v>13</v>
      </c>
      <c r="J147" s="33"/>
      <c r="K147" s="33"/>
    </row>
    <row r="148" spans="1:11">
      <c r="A148" s="13">
        <f t="shared" si="17"/>
        <v>46784</v>
      </c>
      <c r="B148" s="5">
        <v>146</v>
      </c>
      <c r="C148" s="5">
        <f t="shared" si="12"/>
        <v>146</v>
      </c>
      <c r="D148" s="8">
        <f t="shared" si="13"/>
        <v>56014.400000000001</v>
      </c>
      <c r="E148" s="9">
        <f t="shared" si="14"/>
        <v>143.13034526601311</v>
      </c>
      <c r="F148" s="9">
        <f t="shared" si="15"/>
        <v>70.982515446423321</v>
      </c>
      <c r="G148" s="9">
        <f t="shared" si="16"/>
        <v>214.11286071243643</v>
      </c>
      <c r="H148" s="10">
        <f>D148-SUM($E$3:E148)</f>
        <v>37714.211226159758</v>
      </c>
      <c r="I148" s="5">
        <v>13</v>
      </c>
      <c r="J148" s="33"/>
      <c r="K148" s="33"/>
    </row>
    <row r="149" spans="1:11">
      <c r="A149" s="13">
        <f t="shared" si="17"/>
        <v>46813</v>
      </c>
      <c r="B149" s="5">
        <v>147</v>
      </c>
      <c r="C149" s="5">
        <f t="shared" si="12"/>
        <v>147</v>
      </c>
      <c r="D149" s="8">
        <f t="shared" si="13"/>
        <v>56014.400000000001</v>
      </c>
      <c r="E149" s="9">
        <f t="shared" si="14"/>
        <v>143.39871466338687</v>
      </c>
      <c r="F149" s="9">
        <f t="shared" si="15"/>
        <v>70.71414604904956</v>
      </c>
      <c r="G149" s="9">
        <f t="shared" si="16"/>
        <v>214.11286071243643</v>
      </c>
      <c r="H149" s="10">
        <f>D149-SUM($E$3:E149)</f>
        <v>37570.81251149637</v>
      </c>
      <c r="I149" s="5">
        <v>13</v>
      </c>
      <c r="J149" s="33"/>
      <c r="K149" s="33"/>
    </row>
    <row r="150" spans="1:11">
      <c r="A150" s="13">
        <f t="shared" si="17"/>
        <v>46844</v>
      </c>
      <c r="B150" s="5">
        <v>148</v>
      </c>
      <c r="C150" s="5">
        <f t="shared" si="12"/>
        <v>148</v>
      </c>
      <c r="D150" s="8">
        <f t="shared" si="13"/>
        <v>56014.400000000001</v>
      </c>
      <c r="E150" s="9">
        <f t="shared" si="14"/>
        <v>143.66758725338073</v>
      </c>
      <c r="F150" s="9">
        <f t="shared" si="15"/>
        <v>70.445273459055699</v>
      </c>
      <c r="G150" s="9">
        <f t="shared" si="16"/>
        <v>214.11286071243643</v>
      </c>
      <c r="H150" s="10">
        <f>D150-SUM($E$3:E150)</f>
        <v>37427.144924242988</v>
      </c>
      <c r="I150" s="5">
        <v>13</v>
      </c>
      <c r="J150" s="33"/>
      <c r="K150" s="33"/>
    </row>
    <row r="151" spans="1:11">
      <c r="A151" s="13">
        <f t="shared" si="17"/>
        <v>46874</v>
      </c>
      <c r="B151" s="5">
        <v>149</v>
      </c>
      <c r="C151" s="5">
        <f t="shared" si="12"/>
        <v>149</v>
      </c>
      <c r="D151" s="8">
        <f t="shared" si="13"/>
        <v>56014.400000000001</v>
      </c>
      <c r="E151" s="9">
        <f t="shared" si="14"/>
        <v>143.93696397948082</v>
      </c>
      <c r="F151" s="9">
        <f t="shared" si="15"/>
        <v>70.175896732955593</v>
      </c>
      <c r="G151" s="9">
        <f t="shared" si="16"/>
        <v>214.11286071243643</v>
      </c>
      <c r="H151" s="10">
        <f>D151-SUM($E$3:E151)</f>
        <v>37283.207960263506</v>
      </c>
      <c r="I151" s="5">
        <v>13</v>
      </c>
      <c r="J151" s="33"/>
      <c r="K151" s="33"/>
    </row>
    <row r="152" spans="1:11">
      <c r="A152" s="13">
        <f t="shared" si="17"/>
        <v>46905</v>
      </c>
      <c r="B152" s="5">
        <v>150</v>
      </c>
      <c r="C152" s="5">
        <f t="shared" si="12"/>
        <v>150</v>
      </c>
      <c r="D152" s="8">
        <f t="shared" si="13"/>
        <v>56014.400000000001</v>
      </c>
      <c r="E152" s="9">
        <f t="shared" si="14"/>
        <v>144.20684578694232</v>
      </c>
      <c r="F152" s="9">
        <f t="shared" si="15"/>
        <v>69.906014925494091</v>
      </c>
      <c r="G152" s="9">
        <f t="shared" si="16"/>
        <v>214.11286071243643</v>
      </c>
      <c r="H152" s="10">
        <f>D152-SUM($E$3:E152)</f>
        <v>37139.001114476559</v>
      </c>
      <c r="I152" s="5">
        <v>13</v>
      </c>
      <c r="J152" s="33"/>
      <c r="K152" s="33"/>
    </row>
    <row r="153" spans="1:11">
      <c r="A153" s="13">
        <f t="shared" si="17"/>
        <v>46935</v>
      </c>
      <c r="B153" s="5">
        <v>151</v>
      </c>
      <c r="C153" s="5">
        <f t="shared" si="12"/>
        <v>151</v>
      </c>
      <c r="D153" s="8">
        <f t="shared" si="13"/>
        <v>56014.400000000001</v>
      </c>
      <c r="E153" s="9">
        <f t="shared" si="14"/>
        <v>144.47723362279285</v>
      </c>
      <c r="F153" s="9">
        <f t="shared" si="15"/>
        <v>69.635627089643577</v>
      </c>
      <c r="G153" s="9">
        <f t="shared" si="16"/>
        <v>214.11286071243643</v>
      </c>
      <c r="H153" s="10">
        <f>D153-SUM($E$3:E153)</f>
        <v>36994.523880853769</v>
      </c>
      <c r="I153" s="5">
        <v>13</v>
      </c>
      <c r="J153" s="33"/>
      <c r="K153" s="33"/>
    </row>
    <row r="154" spans="1:11">
      <c r="A154" s="13">
        <f t="shared" si="17"/>
        <v>46966</v>
      </c>
      <c r="B154" s="5">
        <v>152</v>
      </c>
      <c r="C154" s="5">
        <f t="shared" si="12"/>
        <v>152</v>
      </c>
      <c r="D154" s="8">
        <f t="shared" si="13"/>
        <v>56014.400000000001</v>
      </c>
      <c r="E154" s="9">
        <f t="shared" si="14"/>
        <v>144.74812843583558</v>
      </c>
      <c r="F154" s="9">
        <f t="shared" si="15"/>
        <v>69.364732276600847</v>
      </c>
      <c r="G154" s="9">
        <f t="shared" si="16"/>
        <v>214.11286071243643</v>
      </c>
      <c r="H154" s="10">
        <f>D154-SUM($E$3:E154)</f>
        <v>36849.775752417932</v>
      </c>
      <c r="I154" s="5">
        <v>13</v>
      </c>
      <c r="J154" s="33"/>
      <c r="K154" s="33"/>
    </row>
    <row r="155" spans="1:11">
      <c r="A155" s="13">
        <f t="shared" si="17"/>
        <v>46997</v>
      </c>
      <c r="B155" s="5">
        <v>153</v>
      </c>
      <c r="C155" s="5">
        <f t="shared" si="12"/>
        <v>153</v>
      </c>
      <c r="D155" s="8">
        <f t="shared" si="13"/>
        <v>56014.400000000001</v>
      </c>
      <c r="E155" s="9">
        <f t="shared" si="14"/>
        <v>145.01953117665278</v>
      </c>
      <c r="F155" s="9">
        <f t="shared" si="15"/>
        <v>69.093329535783653</v>
      </c>
      <c r="G155" s="9">
        <f t="shared" si="16"/>
        <v>214.11286071243643</v>
      </c>
      <c r="H155" s="10">
        <f>D155-SUM($E$3:E155)</f>
        <v>36704.756221241281</v>
      </c>
      <c r="I155" s="5">
        <v>13</v>
      </c>
      <c r="J155" s="33"/>
      <c r="K155" s="33"/>
    </row>
    <row r="156" spans="1:11">
      <c r="A156" s="13">
        <f t="shared" si="17"/>
        <v>47027</v>
      </c>
      <c r="B156" s="5">
        <v>154</v>
      </c>
      <c r="C156" s="5">
        <f t="shared" si="12"/>
        <v>154</v>
      </c>
      <c r="D156" s="8">
        <f t="shared" si="13"/>
        <v>56014.400000000001</v>
      </c>
      <c r="E156" s="9">
        <f t="shared" si="14"/>
        <v>145.29144279760902</v>
      </c>
      <c r="F156" s="9">
        <f t="shared" si="15"/>
        <v>68.821417914827407</v>
      </c>
      <c r="G156" s="9">
        <f t="shared" si="16"/>
        <v>214.11286071243643</v>
      </c>
      <c r="H156" s="10">
        <f>D156-SUM($E$3:E156)</f>
        <v>36559.464778443667</v>
      </c>
      <c r="I156" s="5">
        <v>13</v>
      </c>
      <c r="J156" s="33"/>
      <c r="K156" s="33"/>
    </row>
    <row r="157" spans="1:11">
      <c r="A157" s="13">
        <f t="shared" si="17"/>
        <v>47058</v>
      </c>
      <c r="B157" s="5">
        <v>155</v>
      </c>
      <c r="C157" s="5">
        <f t="shared" si="12"/>
        <v>155</v>
      </c>
      <c r="D157" s="8">
        <f t="shared" si="13"/>
        <v>56014.400000000001</v>
      </c>
      <c r="E157" s="9">
        <f t="shared" si="14"/>
        <v>145.56386425285453</v>
      </c>
      <c r="F157" s="9">
        <f t="shared" si="15"/>
        <v>68.5489964595819</v>
      </c>
      <c r="G157" s="9">
        <f t="shared" si="16"/>
        <v>214.11286071243643</v>
      </c>
      <c r="H157" s="10">
        <f>D157-SUM($E$3:E157)</f>
        <v>36413.900914190817</v>
      </c>
      <c r="I157" s="5">
        <v>13</v>
      </c>
      <c r="J157" s="33"/>
      <c r="K157" s="33"/>
    </row>
    <row r="158" spans="1:11">
      <c r="A158" s="13">
        <f t="shared" si="17"/>
        <v>47088</v>
      </c>
      <c r="B158" s="5">
        <v>156</v>
      </c>
      <c r="C158" s="5">
        <f t="shared" si="12"/>
        <v>156</v>
      </c>
      <c r="D158" s="8">
        <f t="shared" si="13"/>
        <v>56014.400000000001</v>
      </c>
      <c r="E158" s="9">
        <f t="shared" si="14"/>
        <v>145.83679649832865</v>
      </c>
      <c r="F158" s="9">
        <f t="shared" si="15"/>
        <v>68.276064214107805</v>
      </c>
      <c r="G158" s="9">
        <f t="shared" si="16"/>
        <v>214.11286071243646</v>
      </c>
      <c r="H158" s="10">
        <f>D158-SUM($E$3:E158)</f>
        <v>36268.064117692484</v>
      </c>
      <c r="I158" s="5">
        <v>13</v>
      </c>
      <c r="J158" s="33"/>
      <c r="K158" s="33"/>
    </row>
    <row r="159" spans="1:11">
      <c r="A159" s="13">
        <f t="shared" si="17"/>
        <v>47119</v>
      </c>
      <c r="B159" s="5">
        <v>157</v>
      </c>
      <c r="C159" s="5">
        <f t="shared" si="12"/>
        <v>157</v>
      </c>
      <c r="D159" s="8">
        <f t="shared" si="13"/>
        <v>56014.400000000001</v>
      </c>
      <c r="E159" s="9">
        <f t="shared" si="14"/>
        <v>146.11024049176299</v>
      </c>
      <c r="F159" s="9">
        <f t="shared" si="15"/>
        <v>68.002620220673435</v>
      </c>
      <c r="G159" s="9">
        <f t="shared" si="16"/>
        <v>214.11286071243643</v>
      </c>
      <c r="H159" s="10">
        <f>D159-SUM($E$3:E159)</f>
        <v>36121.953877200722</v>
      </c>
      <c r="I159" s="5">
        <v>14</v>
      </c>
      <c r="J159" s="33"/>
      <c r="K159" s="33"/>
    </row>
    <row r="160" spans="1:11">
      <c r="A160" s="13">
        <f t="shared" si="17"/>
        <v>47150</v>
      </c>
      <c r="B160" s="5">
        <v>158</v>
      </c>
      <c r="C160" s="5">
        <f t="shared" si="12"/>
        <v>158</v>
      </c>
      <c r="D160" s="8">
        <f t="shared" si="13"/>
        <v>56014.400000000001</v>
      </c>
      <c r="E160" s="9">
        <f t="shared" si="14"/>
        <v>146.38419719268504</v>
      </c>
      <c r="F160" s="9">
        <f t="shared" si="15"/>
        <v>67.728663519751379</v>
      </c>
      <c r="G160" s="9">
        <f t="shared" si="16"/>
        <v>214.11286071243643</v>
      </c>
      <c r="H160" s="10">
        <f>D160-SUM($E$3:E160)</f>
        <v>35975.56968000804</v>
      </c>
      <c r="I160" s="5">
        <v>14</v>
      </c>
      <c r="J160" s="33"/>
      <c r="K160" s="33"/>
    </row>
    <row r="161" spans="1:11">
      <c r="A161" s="13">
        <f t="shared" si="17"/>
        <v>47178</v>
      </c>
      <c r="B161" s="5">
        <v>159</v>
      </c>
      <c r="C161" s="5">
        <f t="shared" si="12"/>
        <v>159</v>
      </c>
      <c r="D161" s="8">
        <f t="shared" si="13"/>
        <v>56014.400000000001</v>
      </c>
      <c r="E161" s="9">
        <f t="shared" si="14"/>
        <v>146.65866756242133</v>
      </c>
      <c r="F161" s="9">
        <f t="shared" si="15"/>
        <v>67.454193150015101</v>
      </c>
      <c r="G161" s="9">
        <f t="shared" si="16"/>
        <v>214.11286071243643</v>
      </c>
      <c r="H161" s="10">
        <f>D161-SUM($E$3:E161)</f>
        <v>35828.91101244562</v>
      </c>
      <c r="I161" s="5">
        <v>14</v>
      </c>
      <c r="J161" s="33"/>
      <c r="K161" s="33"/>
    </row>
    <row r="162" spans="1:11">
      <c r="A162" s="13">
        <f t="shared" si="17"/>
        <v>47209</v>
      </c>
      <c r="B162" s="5">
        <v>160</v>
      </c>
      <c r="C162" s="5">
        <f t="shared" si="12"/>
        <v>160</v>
      </c>
      <c r="D162" s="8">
        <f t="shared" si="13"/>
        <v>56014.400000000001</v>
      </c>
      <c r="E162" s="9">
        <f t="shared" si="14"/>
        <v>146.9336525641009</v>
      </c>
      <c r="F162" s="9">
        <f t="shared" si="15"/>
        <v>67.179208148335547</v>
      </c>
      <c r="G162" s="9">
        <f t="shared" si="16"/>
        <v>214.11286071243643</v>
      </c>
      <c r="H162" s="10">
        <f>D162-SUM($E$3:E162)</f>
        <v>35681.977359881523</v>
      </c>
      <c r="I162" s="5">
        <v>14</v>
      </c>
      <c r="J162" s="33"/>
      <c r="K162" s="33"/>
    </row>
    <row r="163" spans="1:11">
      <c r="A163" s="13">
        <f t="shared" si="17"/>
        <v>47239</v>
      </c>
      <c r="B163" s="5">
        <v>161</v>
      </c>
      <c r="C163" s="5">
        <f t="shared" si="12"/>
        <v>161</v>
      </c>
      <c r="D163" s="8">
        <f t="shared" si="13"/>
        <v>56014.400000000001</v>
      </c>
      <c r="E163" s="9">
        <f t="shared" si="14"/>
        <v>147.20915316265854</v>
      </c>
      <c r="F163" s="9">
        <f t="shared" si="15"/>
        <v>66.903707549777849</v>
      </c>
      <c r="G163" s="9">
        <f t="shared" si="16"/>
        <v>214.11286071243637</v>
      </c>
      <c r="H163" s="10">
        <f>D163-SUM($E$3:E163)</f>
        <v>35534.768206718858</v>
      </c>
      <c r="I163" s="5">
        <v>14</v>
      </c>
      <c r="J163" s="33"/>
      <c r="K163" s="33"/>
    </row>
    <row r="164" spans="1:11">
      <c r="A164" s="13">
        <f t="shared" si="17"/>
        <v>47270</v>
      </c>
      <c r="B164" s="5">
        <v>162</v>
      </c>
      <c r="C164" s="5">
        <f t="shared" si="12"/>
        <v>162</v>
      </c>
      <c r="D164" s="8">
        <f t="shared" si="13"/>
        <v>56014.400000000001</v>
      </c>
      <c r="E164" s="9">
        <f t="shared" si="14"/>
        <v>147.48517032483855</v>
      </c>
      <c r="F164" s="9">
        <f t="shared" si="15"/>
        <v>66.627690387597866</v>
      </c>
      <c r="G164" s="9">
        <f t="shared" si="16"/>
        <v>214.11286071243643</v>
      </c>
      <c r="H164" s="10">
        <f>D164-SUM($E$3:E164)</f>
        <v>35387.283036394023</v>
      </c>
      <c r="I164" s="5">
        <v>14</v>
      </c>
      <c r="J164" s="33"/>
      <c r="K164" s="33"/>
    </row>
    <row r="165" spans="1:11">
      <c r="A165" s="13">
        <f t="shared" si="17"/>
        <v>47300</v>
      </c>
      <c r="B165" s="5">
        <v>163</v>
      </c>
      <c r="C165" s="5">
        <f t="shared" si="12"/>
        <v>163</v>
      </c>
      <c r="D165" s="8">
        <f t="shared" si="13"/>
        <v>56014.400000000001</v>
      </c>
      <c r="E165" s="9">
        <f t="shared" si="14"/>
        <v>147.76170501919762</v>
      </c>
      <c r="F165" s="9">
        <f t="shared" si="15"/>
        <v>66.351155693238809</v>
      </c>
      <c r="G165" s="9">
        <f t="shared" si="16"/>
        <v>214.11286071243643</v>
      </c>
      <c r="H165" s="10">
        <f>D165-SUM($E$3:E165)</f>
        <v>35239.521331374825</v>
      </c>
      <c r="I165" s="5">
        <v>14</v>
      </c>
      <c r="J165" s="33"/>
      <c r="K165" s="33"/>
    </row>
    <row r="166" spans="1:11">
      <c r="A166" s="13">
        <f t="shared" si="17"/>
        <v>47331</v>
      </c>
      <c r="B166" s="5">
        <v>164</v>
      </c>
      <c r="C166" s="5">
        <f t="shared" si="12"/>
        <v>164</v>
      </c>
      <c r="D166" s="8">
        <f t="shared" si="13"/>
        <v>56014.400000000001</v>
      </c>
      <c r="E166" s="9">
        <f t="shared" si="14"/>
        <v>148.03875821610862</v>
      </c>
      <c r="F166" s="9">
        <f t="shared" si="15"/>
        <v>66.074102496327825</v>
      </c>
      <c r="G166" s="9">
        <f t="shared" si="16"/>
        <v>214.11286071243643</v>
      </c>
      <c r="H166" s="10">
        <f>D166-SUM($E$3:E166)</f>
        <v>35091.482573158719</v>
      </c>
      <c r="I166" s="5">
        <v>14</v>
      </c>
      <c r="J166" s="33"/>
      <c r="K166" s="33"/>
    </row>
    <row r="167" spans="1:11">
      <c r="A167" s="13">
        <f t="shared" si="17"/>
        <v>47362</v>
      </c>
      <c r="B167" s="5">
        <v>165</v>
      </c>
      <c r="C167" s="5">
        <f t="shared" si="12"/>
        <v>165</v>
      </c>
      <c r="D167" s="8">
        <f t="shared" si="13"/>
        <v>56014.400000000001</v>
      </c>
      <c r="E167" s="9">
        <f t="shared" si="14"/>
        <v>148.3163308877638</v>
      </c>
      <c r="F167" s="9">
        <f t="shared" si="15"/>
        <v>65.796529824672604</v>
      </c>
      <c r="G167" s="9">
        <f t="shared" si="16"/>
        <v>214.1128607124364</v>
      </c>
      <c r="H167" s="10">
        <f>D167-SUM($E$3:E167)</f>
        <v>34943.166242270949</v>
      </c>
      <c r="I167" s="5">
        <v>14</v>
      </c>
      <c r="J167" s="33"/>
      <c r="K167" s="33"/>
    </row>
    <row r="168" spans="1:11">
      <c r="A168" s="13">
        <f t="shared" si="17"/>
        <v>47392</v>
      </c>
      <c r="B168" s="5">
        <v>166</v>
      </c>
      <c r="C168" s="5">
        <f t="shared" si="12"/>
        <v>166</v>
      </c>
      <c r="D168" s="8">
        <f t="shared" si="13"/>
        <v>56014.400000000001</v>
      </c>
      <c r="E168" s="9">
        <f t="shared" si="14"/>
        <v>148.59442400817838</v>
      </c>
      <c r="F168" s="9">
        <f t="shared" si="15"/>
        <v>65.51843670425805</v>
      </c>
      <c r="G168" s="9">
        <f t="shared" si="16"/>
        <v>214.11286071243643</v>
      </c>
      <c r="H168" s="10">
        <f>D168-SUM($E$3:E168)</f>
        <v>34794.571818262775</v>
      </c>
      <c r="I168" s="5">
        <v>14</v>
      </c>
      <c r="J168" s="33"/>
      <c r="K168" s="33"/>
    </row>
    <row r="169" spans="1:11">
      <c r="A169" s="13">
        <f t="shared" si="17"/>
        <v>47423</v>
      </c>
      <c r="B169" s="5">
        <v>167</v>
      </c>
      <c r="C169" s="5">
        <f t="shared" si="12"/>
        <v>167</v>
      </c>
      <c r="D169" s="8">
        <f t="shared" si="13"/>
        <v>56014.400000000001</v>
      </c>
      <c r="E169" s="9">
        <f t="shared" si="14"/>
        <v>148.87303855319371</v>
      </c>
      <c r="F169" s="9">
        <f t="shared" si="15"/>
        <v>65.239822159242735</v>
      </c>
      <c r="G169" s="9">
        <f t="shared" si="16"/>
        <v>214.11286071243643</v>
      </c>
      <c r="H169" s="10">
        <f>D169-SUM($E$3:E169)</f>
        <v>34645.698779709579</v>
      </c>
      <c r="I169" s="5">
        <v>14</v>
      </c>
      <c r="J169" s="33"/>
      <c r="K169" s="33"/>
    </row>
    <row r="170" spans="1:11">
      <c r="A170" s="13">
        <f t="shared" si="17"/>
        <v>47453</v>
      </c>
      <c r="B170" s="5">
        <v>168</v>
      </c>
      <c r="C170" s="5">
        <f t="shared" si="12"/>
        <v>168</v>
      </c>
      <c r="D170" s="8">
        <f t="shared" si="13"/>
        <v>56014.400000000001</v>
      </c>
      <c r="E170" s="9">
        <f t="shared" si="14"/>
        <v>149.15217550048095</v>
      </c>
      <c r="F170" s="9">
        <f t="shared" si="15"/>
        <v>64.960685211955479</v>
      </c>
      <c r="G170" s="9">
        <f t="shared" si="16"/>
        <v>214.11286071243643</v>
      </c>
      <c r="H170" s="10">
        <f>D170-SUM($E$3:E170)</f>
        <v>34496.546604209099</v>
      </c>
      <c r="I170" s="5">
        <v>14</v>
      </c>
      <c r="J170" s="33"/>
      <c r="K170" s="33"/>
    </row>
    <row r="171" spans="1:11">
      <c r="A171" s="13">
        <f t="shared" si="17"/>
        <v>47484</v>
      </c>
      <c r="B171" s="5">
        <v>169</v>
      </c>
      <c r="C171" s="5">
        <f t="shared" si="12"/>
        <v>169</v>
      </c>
      <c r="D171" s="8">
        <f t="shared" si="13"/>
        <v>56014.400000000001</v>
      </c>
      <c r="E171" s="9">
        <f t="shared" si="14"/>
        <v>149.43183582954433</v>
      </c>
      <c r="F171" s="9">
        <f t="shared" si="15"/>
        <v>64.681024882892075</v>
      </c>
      <c r="G171" s="9">
        <f t="shared" si="16"/>
        <v>214.1128607124364</v>
      </c>
      <c r="H171" s="10">
        <f>D171-SUM($E$3:E171)</f>
        <v>34347.114768379557</v>
      </c>
      <c r="I171" s="5">
        <v>15</v>
      </c>
      <c r="J171" s="33"/>
      <c r="K171" s="33"/>
    </row>
    <row r="172" spans="1:11">
      <c r="A172" s="13">
        <f t="shared" si="17"/>
        <v>47515</v>
      </c>
      <c r="B172" s="5">
        <v>170</v>
      </c>
      <c r="C172" s="5">
        <f t="shared" si="12"/>
        <v>170</v>
      </c>
      <c r="D172" s="8">
        <f t="shared" si="13"/>
        <v>56014.400000000001</v>
      </c>
      <c r="E172" s="9">
        <f t="shared" si="14"/>
        <v>149.71202052172475</v>
      </c>
      <c r="F172" s="9">
        <f t="shared" si="15"/>
        <v>64.400840190711691</v>
      </c>
      <c r="G172" s="9">
        <f t="shared" si="16"/>
        <v>214.11286071243643</v>
      </c>
      <c r="H172" s="10">
        <f>D172-SUM($E$3:E172)</f>
        <v>34197.402747857835</v>
      </c>
      <c r="I172" s="5">
        <v>15</v>
      </c>
      <c r="J172" s="33"/>
      <c r="K172" s="33"/>
    </row>
    <row r="173" spans="1:11">
      <c r="A173" s="13">
        <f t="shared" si="17"/>
        <v>47543</v>
      </c>
      <c r="B173" s="5">
        <v>171</v>
      </c>
      <c r="C173" s="5">
        <f t="shared" si="12"/>
        <v>171</v>
      </c>
      <c r="D173" s="8">
        <f t="shared" si="13"/>
        <v>56014.400000000001</v>
      </c>
      <c r="E173" s="9">
        <f t="shared" si="14"/>
        <v>149.99273056020294</v>
      </c>
      <c r="F173" s="9">
        <f t="shared" si="15"/>
        <v>64.120130152233443</v>
      </c>
      <c r="G173" s="9">
        <f t="shared" si="16"/>
        <v>214.11286071243637</v>
      </c>
      <c r="H173" s="10">
        <f>D173-SUM($E$3:E173)</f>
        <v>34047.410017297632</v>
      </c>
      <c r="I173" s="5">
        <v>15</v>
      </c>
      <c r="J173" s="33"/>
      <c r="K173" s="33"/>
    </row>
    <row r="174" spans="1:11">
      <c r="A174" s="13">
        <f t="shared" si="17"/>
        <v>47574</v>
      </c>
      <c r="B174" s="5">
        <v>172</v>
      </c>
      <c r="C174" s="5">
        <f t="shared" si="12"/>
        <v>172</v>
      </c>
      <c r="D174" s="8">
        <f t="shared" si="13"/>
        <v>56014.400000000001</v>
      </c>
      <c r="E174" s="9">
        <f t="shared" si="14"/>
        <v>150.27396693000335</v>
      </c>
      <c r="F174" s="9">
        <f t="shared" si="15"/>
        <v>63.838893782433075</v>
      </c>
      <c r="G174" s="9">
        <f t="shared" si="16"/>
        <v>214.11286071243643</v>
      </c>
      <c r="H174" s="10">
        <f>D174-SUM($E$3:E174)</f>
        <v>33897.136050367626</v>
      </c>
      <c r="I174" s="5">
        <v>15</v>
      </c>
      <c r="J174" s="33"/>
      <c r="K174" s="33"/>
    </row>
    <row r="175" spans="1:11">
      <c r="A175" s="13">
        <f t="shared" si="17"/>
        <v>47604</v>
      </c>
      <c r="B175" s="5">
        <v>173</v>
      </c>
      <c r="C175" s="5">
        <f t="shared" si="12"/>
        <v>173</v>
      </c>
      <c r="D175" s="8">
        <f t="shared" si="13"/>
        <v>56014.400000000001</v>
      </c>
      <c r="E175" s="9">
        <f t="shared" si="14"/>
        <v>150.55573061799711</v>
      </c>
      <c r="F175" s="9">
        <f t="shared" si="15"/>
        <v>63.557130094439309</v>
      </c>
      <c r="G175" s="9">
        <f t="shared" si="16"/>
        <v>214.11286071243643</v>
      </c>
      <c r="H175" s="10">
        <f>D175-SUM($E$3:E175)</f>
        <v>33746.580319749628</v>
      </c>
      <c r="I175" s="5">
        <v>15</v>
      </c>
      <c r="J175" s="33"/>
      <c r="K175" s="33"/>
    </row>
    <row r="176" spans="1:11">
      <c r="A176" s="13">
        <f t="shared" si="17"/>
        <v>47635</v>
      </c>
      <c r="B176" s="5">
        <v>174</v>
      </c>
      <c r="C176" s="5">
        <f t="shared" si="12"/>
        <v>174</v>
      </c>
      <c r="D176" s="8">
        <f t="shared" si="13"/>
        <v>56014.400000000001</v>
      </c>
      <c r="E176" s="9">
        <f t="shared" si="14"/>
        <v>150.83802261290586</v>
      </c>
      <c r="F176" s="9">
        <f t="shared" si="15"/>
        <v>63.274838099530562</v>
      </c>
      <c r="G176" s="9">
        <f t="shared" si="16"/>
        <v>214.11286071243643</v>
      </c>
      <c r="H176" s="10">
        <f>D176-SUM($E$3:E176)</f>
        <v>33595.74229713672</v>
      </c>
      <c r="I176" s="5">
        <v>15</v>
      </c>
      <c r="J176" s="33"/>
      <c r="K176" s="33"/>
    </row>
    <row r="177" spans="1:11">
      <c r="A177" s="13">
        <f t="shared" si="17"/>
        <v>47665</v>
      </c>
      <c r="B177" s="5">
        <v>175</v>
      </c>
      <c r="C177" s="5">
        <f t="shared" si="12"/>
        <v>175</v>
      </c>
      <c r="D177" s="8">
        <f t="shared" si="13"/>
        <v>56014.400000000001</v>
      </c>
      <c r="E177" s="9">
        <f t="shared" si="14"/>
        <v>151.12084390530504</v>
      </c>
      <c r="F177" s="9">
        <f t="shared" si="15"/>
        <v>62.992016807131364</v>
      </c>
      <c r="G177" s="9">
        <f t="shared" si="16"/>
        <v>214.1128607124364</v>
      </c>
      <c r="H177" s="10">
        <f>D177-SUM($E$3:E177)</f>
        <v>33444.621453231419</v>
      </c>
      <c r="I177" s="5">
        <v>15</v>
      </c>
      <c r="J177" s="33"/>
      <c r="K177" s="33"/>
    </row>
    <row r="178" spans="1:11">
      <c r="A178" s="13">
        <f t="shared" si="17"/>
        <v>47696</v>
      </c>
      <c r="B178" s="5">
        <v>176</v>
      </c>
      <c r="C178" s="5">
        <f t="shared" si="12"/>
        <v>176</v>
      </c>
      <c r="D178" s="8">
        <f t="shared" si="13"/>
        <v>56014.400000000001</v>
      </c>
      <c r="E178" s="9">
        <f t="shared" si="14"/>
        <v>151.4041954876275</v>
      </c>
      <c r="F178" s="9">
        <f t="shared" si="15"/>
        <v>62.708665224808925</v>
      </c>
      <c r="G178" s="9">
        <f t="shared" si="16"/>
        <v>214.11286071243643</v>
      </c>
      <c r="H178" s="10">
        <f>D178-SUM($E$3:E178)</f>
        <v>33293.217257743789</v>
      </c>
      <c r="I178" s="5">
        <v>15</v>
      </c>
      <c r="J178" s="33"/>
      <c r="K178" s="33"/>
    </row>
    <row r="179" spans="1:11">
      <c r="A179" s="13">
        <f t="shared" si="17"/>
        <v>47727</v>
      </c>
      <c r="B179" s="5">
        <v>177</v>
      </c>
      <c r="C179" s="5">
        <f t="shared" si="12"/>
        <v>177</v>
      </c>
      <c r="D179" s="8">
        <f t="shared" si="13"/>
        <v>56014.400000000001</v>
      </c>
      <c r="E179" s="9">
        <f t="shared" si="14"/>
        <v>151.68807835416683</v>
      </c>
      <c r="F179" s="9">
        <f t="shared" si="15"/>
        <v>62.424782358269631</v>
      </c>
      <c r="G179" s="9">
        <f t="shared" si="16"/>
        <v>214.11286071243646</v>
      </c>
      <c r="H179" s="10">
        <f>D179-SUM($E$3:E179)</f>
        <v>33141.529179389625</v>
      </c>
      <c r="I179" s="5">
        <v>15</v>
      </c>
      <c r="J179" s="33"/>
      <c r="K179" s="33"/>
    </row>
    <row r="180" spans="1:11">
      <c r="A180" s="13">
        <f t="shared" si="17"/>
        <v>47757</v>
      </c>
      <c r="B180" s="5">
        <v>178</v>
      </c>
      <c r="C180" s="5">
        <f t="shared" si="12"/>
        <v>178</v>
      </c>
      <c r="D180" s="8">
        <f t="shared" si="13"/>
        <v>56014.400000000001</v>
      </c>
      <c r="E180" s="9">
        <f t="shared" si="14"/>
        <v>151.97249350108086</v>
      </c>
      <c r="F180" s="9">
        <f t="shared" si="15"/>
        <v>62.14036721135556</v>
      </c>
      <c r="G180" s="9">
        <f t="shared" si="16"/>
        <v>214.11286071243643</v>
      </c>
      <c r="H180" s="10">
        <f>D180-SUM($E$3:E180)</f>
        <v>32989.556685888543</v>
      </c>
      <c r="I180" s="5">
        <v>15</v>
      </c>
      <c r="J180" s="33"/>
      <c r="K180" s="33"/>
    </row>
    <row r="181" spans="1:11">
      <c r="A181" s="13">
        <f t="shared" si="17"/>
        <v>47788</v>
      </c>
      <c r="B181" s="5">
        <v>179</v>
      </c>
      <c r="C181" s="5">
        <f t="shared" si="12"/>
        <v>179</v>
      </c>
      <c r="D181" s="8">
        <f t="shared" si="13"/>
        <v>56014.400000000001</v>
      </c>
      <c r="E181" s="9">
        <f t="shared" si="14"/>
        <v>152.25744192639539</v>
      </c>
      <c r="F181" s="9">
        <f t="shared" si="15"/>
        <v>61.855418786041028</v>
      </c>
      <c r="G181" s="9">
        <f t="shared" si="16"/>
        <v>214.11286071243643</v>
      </c>
      <c r="H181" s="10">
        <f>D181-SUM($E$3:E181)</f>
        <v>32837.299243962145</v>
      </c>
      <c r="I181" s="5">
        <v>15</v>
      </c>
      <c r="J181" s="33"/>
      <c r="K181" s="33"/>
    </row>
    <row r="182" spans="1:11">
      <c r="A182" s="13">
        <f t="shared" si="17"/>
        <v>47818</v>
      </c>
      <c r="B182" s="5">
        <v>180</v>
      </c>
      <c r="C182" s="5">
        <f t="shared" si="12"/>
        <v>180</v>
      </c>
      <c r="D182" s="8">
        <f t="shared" si="13"/>
        <v>56014.400000000001</v>
      </c>
      <c r="E182" s="9">
        <f t="shared" si="14"/>
        <v>152.54292463000738</v>
      </c>
      <c r="F182" s="9">
        <f t="shared" si="15"/>
        <v>61.569936082429031</v>
      </c>
      <c r="G182" s="9">
        <f t="shared" si="16"/>
        <v>214.1128607124364</v>
      </c>
      <c r="H182" s="10">
        <f>D182-SUM($E$3:E182)</f>
        <v>32684.75631933214</v>
      </c>
      <c r="I182" s="5">
        <v>15</v>
      </c>
      <c r="J182" s="33"/>
      <c r="K182" s="33"/>
    </row>
    <row r="183" spans="1:11">
      <c r="A183" s="13">
        <f t="shared" si="17"/>
        <v>47849</v>
      </c>
      <c r="B183" s="5">
        <v>181</v>
      </c>
      <c r="C183" s="5">
        <f t="shared" si="12"/>
        <v>181</v>
      </c>
      <c r="D183" s="8">
        <f t="shared" si="13"/>
        <v>56014.400000000001</v>
      </c>
      <c r="E183" s="9">
        <f t="shared" si="14"/>
        <v>152.82894261368864</v>
      </c>
      <c r="F183" s="9">
        <f t="shared" si="15"/>
        <v>61.283918098747769</v>
      </c>
      <c r="G183" s="9">
        <f t="shared" si="16"/>
        <v>214.1128607124364</v>
      </c>
      <c r="H183" s="10">
        <f>D183-SUM($E$3:E183)</f>
        <v>32531.927376718453</v>
      </c>
      <c r="I183" s="5">
        <v>16</v>
      </c>
      <c r="J183" s="33"/>
      <c r="K183" s="33"/>
    </row>
    <row r="184" spans="1:11">
      <c r="A184" s="13">
        <f t="shared" si="17"/>
        <v>47880</v>
      </c>
      <c r="B184" s="5">
        <v>182</v>
      </c>
      <c r="C184" s="5">
        <f t="shared" si="12"/>
        <v>182</v>
      </c>
      <c r="D184" s="8">
        <f t="shared" si="13"/>
        <v>56014.400000000001</v>
      </c>
      <c r="E184" s="9">
        <f t="shared" si="14"/>
        <v>153.11549688108934</v>
      </c>
      <c r="F184" s="9">
        <f t="shared" si="15"/>
        <v>60.997363831347101</v>
      </c>
      <c r="G184" s="9">
        <f t="shared" si="16"/>
        <v>214.11286071243643</v>
      </c>
      <c r="H184" s="10">
        <f>D184-SUM($E$3:E184)</f>
        <v>32378.811879837365</v>
      </c>
      <c r="I184" s="5">
        <v>16</v>
      </c>
      <c r="J184" s="33"/>
      <c r="K184" s="33"/>
    </row>
    <row r="185" spans="1:11">
      <c r="A185" s="13">
        <f t="shared" si="17"/>
        <v>47908</v>
      </c>
      <c r="B185" s="5">
        <v>183</v>
      </c>
      <c r="C185" s="5">
        <f t="shared" si="12"/>
        <v>183</v>
      </c>
      <c r="D185" s="8">
        <f t="shared" si="13"/>
        <v>56014.400000000001</v>
      </c>
      <c r="E185" s="9">
        <f t="shared" si="14"/>
        <v>153.40258843774134</v>
      </c>
      <c r="F185" s="9">
        <f t="shared" si="15"/>
        <v>60.710272274695058</v>
      </c>
      <c r="G185" s="9">
        <f t="shared" si="16"/>
        <v>214.1128607124364</v>
      </c>
      <c r="H185" s="10">
        <f>D185-SUM($E$3:E185)</f>
        <v>32225.409291399625</v>
      </c>
      <c r="I185" s="5">
        <v>16</v>
      </c>
      <c r="J185" s="33"/>
      <c r="K185" s="33"/>
    </row>
    <row r="186" spans="1:11">
      <c r="A186" s="13">
        <f t="shared" si="17"/>
        <v>47939</v>
      </c>
      <c r="B186" s="5">
        <v>184</v>
      </c>
      <c r="C186" s="5">
        <f t="shared" si="12"/>
        <v>184</v>
      </c>
      <c r="D186" s="8">
        <f t="shared" si="13"/>
        <v>56014.400000000001</v>
      </c>
      <c r="E186" s="9">
        <f t="shared" si="14"/>
        <v>153.69021829106211</v>
      </c>
      <c r="F186" s="9">
        <f t="shared" si="15"/>
        <v>60.422642421374292</v>
      </c>
      <c r="G186" s="9">
        <f t="shared" si="16"/>
        <v>214.1128607124364</v>
      </c>
      <c r="H186" s="10">
        <f>D186-SUM($E$3:E186)</f>
        <v>32071.719073108561</v>
      </c>
      <c r="I186" s="5">
        <v>16</v>
      </c>
      <c r="J186" s="33"/>
      <c r="K186" s="33"/>
    </row>
    <row r="187" spans="1:11">
      <c r="A187" s="13">
        <f t="shared" si="17"/>
        <v>47969</v>
      </c>
      <c r="B187" s="5">
        <v>185</v>
      </c>
      <c r="C187" s="5">
        <f t="shared" si="12"/>
        <v>185</v>
      </c>
      <c r="D187" s="8">
        <f t="shared" si="13"/>
        <v>56014.400000000001</v>
      </c>
      <c r="E187" s="9">
        <f t="shared" si="14"/>
        <v>153.97838745035784</v>
      </c>
      <c r="F187" s="9">
        <f t="shared" si="15"/>
        <v>60.134473262078551</v>
      </c>
      <c r="G187" s="9">
        <f t="shared" si="16"/>
        <v>214.1128607124364</v>
      </c>
      <c r="H187" s="10">
        <f>D187-SUM($E$3:E187)</f>
        <v>31917.740685658202</v>
      </c>
      <c r="I187" s="5">
        <v>16</v>
      </c>
      <c r="J187" s="33"/>
      <c r="K187" s="33"/>
    </row>
    <row r="188" spans="1:11">
      <c r="A188" s="13">
        <f t="shared" si="17"/>
        <v>48000</v>
      </c>
      <c r="B188" s="5">
        <v>186</v>
      </c>
      <c r="C188" s="5">
        <f t="shared" si="12"/>
        <v>186</v>
      </c>
      <c r="D188" s="8">
        <f t="shared" si="13"/>
        <v>56014.400000000001</v>
      </c>
      <c r="E188" s="9">
        <f t="shared" si="14"/>
        <v>154.26709692682732</v>
      </c>
      <c r="F188" s="9">
        <f t="shared" si="15"/>
        <v>59.845763785609137</v>
      </c>
      <c r="G188" s="9">
        <f t="shared" si="16"/>
        <v>214.11286071243646</v>
      </c>
      <c r="H188" s="10">
        <f>D188-SUM($E$3:E188)</f>
        <v>31763.473588731376</v>
      </c>
      <c r="I188" s="5">
        <v>16</v>
      </c>
      <c r="J188" s="33"/>
      <c r="K188" s="33"/>
    </row>
    <row r="189" spans="1:11">
      <c r="A189" s="13">
        <f t="shared" si="17"/>
        <v>48030</v>
      </c>
      <c r="B189" s="5">
        <v>187</v>
      </c>
      <c r="C189" s="5">
        <f t="shared" si="12"/>
        <v>187</v>
      </c>
      <c r="D189" s="8">
        <f t="shared" si="13"/>
        <v>56014.400000000001</v>
      </c>
      <c r="E189" s="9">
        <f t="shared" si="14"/>
        <v>154.55634773356508</v>
      </c>
      <c r="F189" s="9">
        <f t="shared" si="15"/>
        <v>59.556512978871339</v>
      </c>
      <c r="G189" s="9">
        <f t="shared" si="16"/>
        <v>214.11286071243643</v>
      </c>
      <c r="H189" s="10">
        <f>D189-SUM($E$3:E189)</f>
        <v>31608.917240997813</v>
      </c>
      <c r="I189" s="5">
        <v>16</v>
      </c>
      <c r="J189" s="33"/>
      <c r="K189" s="33"/>
    </row>
    <row r="190" spans="1:11">
      <c r="A190" s="13">
        <f t="shared" si="17"/>
        <v>48061</v>
      </c>
      <c r="B190" s="5">
        <v>188</v>
      </c>
      <c r="C190" s="5">
        <f t="shared" si="12"/>
        <v>188</v>
      </c>
      <c r="D190" s="8">
        <f t="shared" si="13"/>
        <v>56014.400000000001</v>
      </c>
      <c r="E190" s="9">
        <f t="shared" si="14"/>
        <v>154.84614088556552</v>
      </c>
      <c r="F190" s="9">
        <f t="shared" si="15"/>
        <v>59.266719826870904</v>
      </c>
      <c r="G190" s="9">
        <f t="shared" si="16"/>
        <v>214.11286071243643</v>
      </c>
      <c r="H190" s="10">
        <f>D190-SUM($E$3:E190)</f>
        <v>31454.071100112247</v>
      </c>
      <c r="I190" s="5">
        <v>16</v>
      </c>
      <c r="J190" s="33"/>
      <c r="K190" s="33"/>
    </row>
    <row r="191" spans="1:11">
      <c r="A191" s="13">
        <f t="shared" si="17"/>
        <v>48092</v>
      </c>
      <c r="B191" s="5">
        <v>189</v>
      </c>
      <c r="C191" s="5">
        <f t="shared" si="12"/>
        <v>189</v>
      </c>
      <c r="D191" s="8">
        <f t="shared" si="13"/>
        <v>56014.400000000001</v>
      </c>
      <c r="E191" s="9">
        <f t="shared" si="14"/>
        <v>155.13647739972595</v>
      </c>
      <c r="F191" s="9">
        <f t="shared" si="15"/>
        <v>58.976383312710475</v>
      </c>
      <c r="G191" s="9">
        <f t="shared" si="16"/>
        <v>214.11286071243643</v>
      </c>
      <c r="H191" s="10">
        <f>D191-SUM($E$3:E191)</f>
        <v>31298.934622712521</v>
      </c>
      <c r="I191" s="5">
        <v>16</v>
      </c>
      <c r="J191" s="33"/>
      <c r="K191" s="33"/>
    </row>
    <row r="192" spans="1:11">
      <c r="A192" s="13">
        <f t="shared" si="17"/>
        <v>48122</v>
      </c>
      <c r="B192" s="5">
        <v>190</v>
      </c>
      <c r="C192" s="5">
        <f t="shared" si="12"/>
        <v>190</v>
      </c>
      <c r="D192" s="8">
        <f t="shared" si="13"/>
        <v>56014.400000000001</v>
      </c>
      <c r="E192" s="9">
        <f t="shared" si="14"/>
        <v>155.42735829485045</v>
      </c>
      <c r="F192" s="9">
        <f t="shared" si="15"/>
        <v>58.685502417585987</v>
      </c>
      <c r="G192" s="9">
        <f t="shared" si="16"/>
        <v>214.11286071243643</v>
      </c>
      <c r="H192" s="10">
        <f>D192-SUM($E$3:E192)</f>
        <v>31143.507264417669</v>
      </c>
      <c r="I192" s="5">
        <v>16</v>
      </c>
      <c r="J192" s="33"/>
      <c r="K192" s="33"/>
    </row>
    <row r="193" spans="1:11">
      <c r="A193" s="13">
        <f t="shared" si="17"/>
        <v>48153</v>
      </c>
      <c r="B193" s="5">
        <v>191</v>
      </c>
      <c r="C193" s="5">
        <f t="shared" si="12"/>
        <v>191</v>
      </c>
      <c r="D193" s="8">
        <f t="shared" si="13"/>
        <v>56014.400000000001</v>
      </c>
      <c r="E193" s="9">
        <f t="shared" si="14"/>
        <v>155.71878459165328</v>
      </c>
      <c r="F193" s="9">
        <f t="shared" si="15"/>
        <v>58.394076120783133</v>
      </c>
      <c r="G193" s="9">
        <f t="shared" si="16"/>
        <v>214.1128607124364</v>
      </c>
      <c r="H193" s="10">
        <f>D193-SUM($E$3:E193)</f>
        <v>30987.788479826017</v>
      </c>
      <c r="I193" s="5">
        <v>16</v>
      </c>
      <c r="J193" s="33"/>
      <c r="K193" s="33"/>
    </row>
    <row r="194" spans="1:11">
      <c r="A194" s="13">
        <f t="shared" si="17"/>
        <v>48183</v>
      </c>
      <c r="B194" s="5">
        <v>192</v>
      </c>
      <c r="C194" s="5">
        <f t="shared" si="12"/>
        <v>192</v>
      </c>
      <c r="D194" s="8">
        <f t="shared" si="13"/>
        <v>56014.400000000001</v>
      </c>
      <c r="E194" s="9">
        <f t="shared" si="14"/>
        <v>156.01075731276265</v>
      </c>
      <c r="F194" s="9">
        <f t="shared" si="15"/>
        <v>58.102103399673787</v>
      </c>
      <c r="G194" s="9">
        <f t="shared" si="16"/>
        <v>214.11286071243643</v>
      </c>
      <c r="H194" s="10">
        <f>D194-SUM($E$3:E194)</f>
        <v>30831.777722513252</v>
      </c>
      <c r="I194" s="5">
        <v>16</v>
      </c>
      <c r="J194" s="33"/>
      <c r="K194" s="33"/>
    </row>
    <row r="195" spans="1:11">
      <c r="A195" s="13">
        <f t="shared" si="17"/>
        <v>48214</v>
      </c>
      <c r="B195" s="5">
        <v>193</v>
      </c>
      <c r="C195" s="5">
        <f t="shared" ref="C195:C258" si="18">IF(B195&lt;=$O$7,0,C194+1)</f>
        <v>193</v>
      </c>
      <c r="D195" s="8">
        <f t="shared" ref="D195:D258" si="19">$L$3</f>
        <v>56014.400000000001</v>
      </c>
      <c r="E195" s="9">
        <f t="shared" ref="E195:E258" si="20">IF(C195=0,0,-PPMT($L$4/12,$C195,$L$5*12,D195,0))</f>
        <v>156.30327748272407</v>
      </c>
      <c r="F195" s="9">
        <f t="shared" ref="F195:F258" si="21">IF(C195=0,D195*$L$4/12,-IPMT($L$4/12,C195,$L$5*12,D195,0))</f>
        <v>57.809583229712359</v>
      </c>
      <c r="G195" s="9">
        <f t="shared" ref="G195:G258" si="22">+E195+F195</f>
        <v>214.11286071243643</v>
      </c>
      <c r="H195" s="10">
        <f>D195-SUM($E$3:E195)</f>
        <v>30675.47444503053</v>
      </c>
      <c r="I195" s="5">
        <v>17</v>
      </c>
    </row>
    <row r="196" spans="1:11">
      <c r="A196" s="13">
        <f t="shared" ref="A196:A259" si="23">+EDATE(A195,1)</f>
        <v>48245</v>
      </c>
      <c r="B196" s="5">
        <v>194</v>
      </c>
      <c r="C196" s="5">
        <f t="shared" si="18"/>
        <v>194</v>
      </c>
      <c r="D196" s="8">
        <f t="shared" si="19"/>
        <v>56014.400000000001</v>
      </c>
      <c r="E196" s="9">
        <f t="shared" si="20"/>
        <v>156.59634612800417</v>
      </c>
      <c r="F196" s="9">
        <f t="shared" si="21"/>
        <v>57.516514584432251</v>
      </c>
      <c r="G196" s="9">
        <f t="shared" si="22"/>
        <v>214.11286071243643</v>
      </c>
      <c r="H196" s="10">
        <f>D196-SUM($E$3:E196)</f>
        <v>30518.878098902525</v>
      </c>
      <c r="I196" s="5">
        <v>17</v>
      </c>
    </row>
    <row r="197" spans="1:11">
      <c r="A197" s="13">
        <f t="shared" si="23"/>
        <v>48274</v>
      </c>
      <c r="B197" s="5">
        <v>195</v>
      </c>
      <c r="C197" s="5">
        <f t="shared" si="18"/>
        <v>195</v>
      </c>
      <c r="D197" s="8">
        <f t="shared" si="19"/>
        <v>56014.400000000001</v>
      </c>
      <c r="E197" s="9">
        <f t="shared" si="20"/>
        <v>156.88996427699419</v>
      </c>
      <c r="F197" s="9">
        <f t="shared" si="21"/>
        <v>57.222896435442237</v>
      </c>
      <c r="G197" s="9">
        <f t="shared" si="22"/>
        <v>214.11286071243643</v>
      </c>
      <c r="H197" s="10">
        <f>D197-SUM($E$3:E197)</f>
        <v>30361.988134625532</v>
      </c>
      <c r="I197" s="5">
        <v>17</v>
      </c>
    </row>
    <row r="198" spans="1:11">
      <c r="A198" s="13">
        <f t="shared" si="23"/>
        <v>48305</v>
      </c>
      <c r="B198" s="5">
        <v>196</v>
      </c>
      <c r="C198" s="5">
        <f t="shared" si="18"/>
        <v>196</v>
      </c>
      <c r="D198" s="8">
        <f t="shared" si="19"/>
        <v>56014.400000000001</v>
      </c>
      <c r="E198" s="9">
        <f t="shared" si="20"/>
        <v>157.18413296001356</v>
      </c>
      <c r="F198" s="9">
        <f t="shared" si="21"/>
        <v>56.92872775242288</v>
      </c>
      <c r="G198" s="9">
        <f t="shared" si="22"/>
        <v>214.11286071243643</v>
      </c>
      <c r="H198" s="10">
        <f>D198-SUM($E$3:E198)</f>
        <v>30204.804001665518</v>
      </c>
      <c r="I198" s="5">
        <v>17</v>
      </c>
    </row>
    <row r="199" spans="1:11">
      <c r="A199" s="13">
        <f t="shared" si="23"/>
        <v>48335</v>
      </c>
      <c r="B199" s="5">
        <v>197</v>
      </c>
      <c r="C199" s="5">
        <f t="shared" si="18"/>
        <v>197</v>
      </c>
      <c r="D199" s="8">
        <f t="shared" si="19"/>
        <v>56014.400000000001</v>
      </c>
      <c r="E199" s="9">
        <f t="shared" si="20"/>
        <v>157.4788532093136</v>
      </c>
      <c r="F199" s="9">
        <f t="shared" si="21"/>
        <v>56.634007503122859</v>
      </c>
      <c r="G199" s="9">
        <f t="shared" si="22"/>
        <v>214.11286071243646</v>
      </c>
      <c r="H199" s="10">
        <f>D199-SUM($E$3:E199)</f>
        <v>30047.325148456202</v>
      </c>
      <c r="I199" s="5">
        <v>17</v>
      </c>
    </row>
    <row r="200" spans="1:11">
      <c r="A200" s="13">
        <f t="shared" si="23"/>
        <v>48366</v>
      </c>
      <c r="B200" s="5">
        <v>198</v>
      </c>
      <c r="C200" s="5">
        <f t="shared" si="18"/>
        <v>198</v>
      </c>
      <c r="D200" s="8">
        <f t="shared" si="19"/>
        <v>56014.400000000001</v>
      </c>
      <c r="E200" s="9">
        <f t="shared" si="20"/>
        <v>157.77412605908103</v>
      </c>
      <c r="F200" s="9">
        <f t="shared" si="21"/>
        <v>56.338734653355381</v>
      </c>
      <c r="G200" s="9">
        <f t="shared" si="22"/>
        <v>214.1128607124364</v>
      </c>
      <c r="H200" s="10">
        <f>D200-SUM($E$3:E200)</f>
        <v>29889.551022397121</v>
      </c>
      <c r="I200" s="5">
        <v>17</v>
      </c>
    </row>
    <row r="201" spans="1:11">
      <c r="A201" s="13">
        <f t="shared" si="23"/>
        <v>48396</v>
      </c>
      <c r="B201" s="5">
        <v>199</v>
      </c>
      <c r="C201" s="5">
        <f t="shared" si="18"/>
        <v>199</v>
      </c>
      <c r="D201" s="8">
        <f t="shared" si="19"/>
        <v>56014.400000000001</v>
      </c>
      <c r="E201" s="9">
        <f t="shared" si="20"/>
        <v>158.06995254544179</v>
      </c>
      <c r="F201" s="9">
        <f t="shared" si="21"/>
        <v>56.042908166994614</v>
      </c>
      <c r="G201" s="9">
        <f t="shared" si="22"/>
        <v>214.1128607124364</v>
      </c>
      <c r="H201" s="10">
        <f>D201-SUM($E$3:E201)</f>
        <v>29731.481069851681</v>
      </c>
      <c r="I201" s="5">
        <v>17</v>
      </c>
    </row>
    <row r="202" spans="1:11">
      <c r="A202" s="13">
        <f t="shared" si="23"/>
        <v>48427</v>
      </c>
      <c r="B202" s="5">
        <v>200</v>
      </c>
      <c r="C202" s="5">
        <f t="shared" si="18"/>
        <v>200</v>
      </c>
      <c r="D202" s="8">
        <f t="shared" si="19"/>
        <v>56014.400000000001</v>
      </c>
      <c r="E202" s="9">
        <f t="shared" si="20"/>
        <v>158.3663337064645</v>
      </c>
      <c r="F202" s="9">
        <f t="shared" si="21"/>
        <v>55.746527005971906</v>
      </c>
      <c r="G202" s="9">
        <f t="shared" si="22"/>
        <v>214.1128607124364</v>
      </c>
      <c r="H202" s="10">
        <f>D202-SUM($E$3:E202)</f>
        <v>29573.114736145217</v>
      </c>
      <c r="I202" s="5">
        <v>17</v>
      </c>
    </row>
    <row r="203" spans="1:11">
      <c r="A203" s="13">
        <f t="shared" si="23"/>
        <v>48458</v>
      </c>
      <c r="B203" s="5">
        <v>201</v>
      </c>
      <c r="C203" s="5">
        <f t="shared" si="18"/>
        <v>201</v>
      </c>
      <c r="D203" s="8">
        <f t="shared" si="19"/>
        <v>56014.400000000001</v>
      </c>
      <c r="E203" s="9">
        <f t="shared" si="20"/>
        <v>158.66327058216413</v>
      </c>
      <c r="F203" s="9">
        <f t="shared" si="21"/>
        <v>55.449590130272284</v>
      </c>
      <c r="G203" s="9">
        <f t="shared" si="22"/>
        <v>214.11286071243643</v>
      </c>
      <c r="H203" s="10">
        <f>D203-SUM($E$3:E203)</f>
        <v>29414.451465563052</v>
      </c>
      <c r="I203" s="5">
        <v>17</v>
      </c>
    </row>
    <row r="204" spans="1:11">
      <c r="A204" s="13">
        <f t="shared" si="23"/>
        <v>48488</v>
      </c>
      <c r="B204" s="5">
        <v>202</v>
      </c>
      <c r="C204" s="5">
        <f t="shared" si="18"/>
        <v>202</v>
      </c>
      <c r="D204" s="8">
        <f t="shared" si="19"/>
        <v>56014.400000000001</v>
      </c>
      <c r="E204" s="9">
        <f t="shared" si="20"/>
        <v>158.9607642145057</v>
      </c>
      <c r="F204" s="9">
        <f t="shared" si="21"/>
        <v>55.152096497930728</v>
      </c>
      <c r="G204" s="9">
        <f t="shared" si="22"/>
        <v>214.11286071243643</v>
      </c>
      <c r="H204" s="10">
        <f>D204-SUM($E$3:E204)</f>
        <v>29255.490701348546</v>
      </c>
      <c r="I204" s="5">
        <v>17</v>
      </c>
    </row>
    <row r="205" spans="1:11">
      <c r="A205" s="13">
        <f t="shared" si="23"/>
        <v>48519</v>
      </c>
      <c r="B205" s="5">
        <v>203</v>
      </c>
      <c r="C205" s="5">
        <f t="shared" si="18"/>
        <v>203</v>
      </c>
      <c r="D205" s="8">
        <f t="shared" si="19"/>
        <v>56014.400000000001</v>
      </c>
      <c r="E205" s="9">
        <f t="shared" si="20"/>
        <v>159.25881564740789</v>
      </c>
      <c r="F205" s="9">
        <f t="shared" si="21"/>
        <v>54.854045065028529</v>
      </c>
      <c r="G205" s="9">
        <f t="shared" si="22"/>
        <v>214.11286071243643</v>
      </c>
      <c r="H205" s="10">
        <f>D205-SUM($E$3:E205)</f>
        <v>29096.231885701138</v>
      </c>
      <c r="I205" s="5">
        <v>17</v>
      </c>
    </row>
    <row r="206" spans="1:11">
      <c r="A206" s="13">
        <f t="shared" si="23"/>
        <v>48549</v>
      </c>
      <c r="B206" s="5">
        <v>204</v>
      </c>
      <c r="C206" s="5">
        <f t="shared" si="18"/>
        <v>204</v>
      </c>
      <c r="D206" s="8">
        <f t="shared" si="19"/>
        <v>56014.400000000001</v>
      </c>
      <c r="E206" s="9">
        <f t="shared" si="20"/>
        <v>159.55742592674679</v>
      </c>
      <c r="F206" s="9">
        <f t="shared" si="21"/>
        <v>54.555434785689641</v>
      </c>
      <c r="G206" s="9">
        <f t="shared" si="22"/>
        <v>214.11286071243643</v>
      </c>
      <c r="H206" s="10">
        <f>D206-SUM($E$3:E206)</f>
        <v>28936.674459774393</v>
      </c>
      <c r="I206" s="5">
        <v>17</v>
      </c>
    </row>
    <row r="207" spans="1:11">
      <c r="A207" s="13">
        <f t="shared" si="23"/>
        <v>48580</v>
      </c>
      <c r="B207" s="5">
        <v>205</v>
      </c>
      <c r="C207" s="5">
        <f t="shared" si="18"/>
        <v>205</v>
      </c>
      <c r="D207" s="8">
        <f t="shared" si="19"/>
        <v>56014.400000000001</v>
      </c>
      <c r="E207" s="9">
        <f t="shared" si="20"/>
        <v>159.85659610035944</v>
      </c>
      <c r="F207" s="9">
        <f t="shared" si="21"/>
        <v>54.25626461207699</v>
      </c>
      <c r="G207" s="9">
        <f t="shared" si="22"/>
        <v>214.11286071243643</v>
      </c>
      <c r="H207" s="10">
        <f>D207-SUM($E$3:E207)</f>
        <v>28776.817863674034</v>
      </c>
      <c r="I207" s="5">
        <v>18</v>
      </c>
    </row>
    <row r="208" spans="1:11">
      <c r="A208" s="13">
        <f t="shared" si="23"/>
        <v>48611</v>
      </c>
      <c r="B208" s="5">
        <v>206</v>
      </c>
      <c r="C208" s="5">
        <f t="shared" si="18"/>
        <v>206</v>
      </c>
      <c r="D208" s="8">
        <f t="shared" si="19"/>
        <v>56014.400000000001</v>
      </c>
      <c r="E208" s="9">
        <f t="shared" si="20"/>
        <v>160.15632721804761</v>
      </c>
      <c r="F208" s="9">
        <f t="shared" si="21"/>
        <v>53.956533494388815</v>
      </c>
      <c r="G208" s="9">
        <f t="shared" si="22"/>
        <v>214.11286071243643</v>
      </c>
      <c r="H208" s="10">
        <f>D208-SUM($E$3:E208)</f>
        <v>28616.661536455988</v>
      </c>
      <c r="I208" s="5">
        <v>18</v>
      </c>
    </row>
    <row r="209" spans="1:9">
      <c r="A209" s="13">
        <f t="shared" si="23"/>
        <v>48639</v>
      </c>
      <c r="B209" s="5">
        <v>207</v>
      </c>
      <c r="C209" s="5">
        <f t="shared" si="18"/>
        <v>207</v>
      </c>
      <c r="D209" s="8">
        <f t="shared" si="19"/>
        <v>56014.400000000001</v>
      </c>
      <c r="E209" s="9">
        <f t="shared" si="20"/>
        <v>160.45662033158146</v>
      </c>
      <c r="F209" s="9">
        <f t="shared" si="21"/>
        <v>53.656240380854975</v>
      </c>
      <c r="G209" s="9">
        <f t="shared" si="22"/>
        <v>214.11286071243643</v>
      </c>
      <c r="H209" s="10">
        <f>D209-SUM($E$3:E209)</f>
        <v>28456.204916124407</v>
      </c>
      <c r="I209" s="5">
        <v>18</v>
      </c>
    </row>
    <row r="210" spans="1:9">
      <c r="A210" s="13">
        <f t="shared" si="23"/>
        <v>48670</v>
      </c>
      <c r="B210" s="5">
        <v>208</v>
      </c>
      <c r="C210" s="5">
        <f t="shared" si="18"/>
        <v>208</v>
      </c>
      <c r="D210" s="8">
        <f t="shared" si="19"/>
        <v>56014.400000000001</v>
      </c>
      <c r="E210" s="9">
        <f t="shared" si="20"/>
        <v>160.75747649470316</v>
      </c>
      <c r="F210" s="9">
        <f t="shared" si="21"/>
        <v>53.355384217733253</v>
      </c>
      <c r="G210" s="9">
        <f t="shared" si="22"/>
        <v>214.1128607124364</v>
      </c>
      <c r="H210" s="10">
        <f>D210-SUM($E$3:E210)</f>
        <v>28295.447439629705</v>
      </c>
      <c r="I210" s="5">
        <v>18</v>
      </c>
    </row>
    <row r="211" spans="1:9">
      <c r="A211" s="13">
        <f t="shared" si="23"/>
        <v>48700</v>
      </c>
      <c r="B211" s="5">
        <v>209</v>
      </c>
      <c r="C211" s="5">
        <f t="shared" si="18"/>
        <v>209</v>
      </c>
      <c r="D211" s="8">
        <f t="shared" si="19"/>
        <v>56014.400000000001</v>
      </c>
      <c r="E211" s="9">
        <f t="shared" si="20"/>
        <v>161.05889676313075</v>
      </c>
      <c r="F211" s="9">
        <f t="shared" si="21"/>
        <v>53.05396394930569</v>
      </c>
      <c r="G211" s="9">
        <f t="shared" si="22"/>
        <v>214.11286071243643</v>
      </c>
      <c r="H211" s="10">
        <f>D211-SUM($E$3:E211)</f>
        <v>28134.388542866574</v>
      </c>
      <c r="I211" s="5">
        <v>18</v>
      </c>
    </row>
    <row r="212" spans="1:9">
      <c r="A212" s="13">
        <f t="shared" si="23"/>
        <v>48731</v>
      </c>
      <c r="B212" s="5">
        <v>210</v>
      </c>
      <c r="C212" s="5">
        <f t="shared" si="18"/>
        <v>210</v>
      </c>
      <c r="D212" s="8">
        <f t="shared" si="19"/>
        <v>56014.400000000001</v>
      </c>
      <c r="E212" s="9">
        <f t="shared" si="20"/>
        <v>161.36088219456161</v>
      </c>
      <c r="F212" s="9">
        <f t="shared" si="21"/>
        <v>52.751978517874825</v>
      </c>
      <c r="G212" s="9">
        <f t="shared" si="22"/>
        <v>214.11286071243643</v>
      </c>
      <c r="H212" s="10">
        <f>D212-SUM($E$3:E212)</f>
        <v>27973.027660672014</v>
      </c>
      <c r="I212" s="5">
        <v>18</v>
      </c>
    </row>
    <row r="213" spans="1:9">
      <c r="A213" s="13">
        <f t="shared" si="23"/>
        <v>48761</v>
      </c>
      <c r="B213" s="5">
        <v>211</v>
      </c>
      <c r="C213" s="5">
        <f t="shared" si="18"/>
        <v>211</v>
      </c>
      <c r="D213" s="8">
        <f t="shared" si="19"/>
        <v>56014.400000000001</v>
      </c>
      <c r="E213" s="9">
        <f t="shared" si="20"/>
        <v>161.66343384867639</v>
      </c>
      <c r="F213" s="9">
        <f t="shared" si="21"/>
        <v>52.449426863760031</v>
      </c>
      <c r="G213" s="9">
        <f t="shared" si="22"/>
        <v>214.11286071243643</v>
      </c>
      <c r="H213" s="10">
        <f>D213-SUM($E$3:E213)</f>
        <v>27811.364226823338</v>
      </c>
      <c r="I213" s="5">
        <v>18</v>
      </c>
    </row>
    <row r="214" spans="1:9">
      <c r="A214" s="13">
        <f t="shared" si="23"/>
        <v>48792</v>
      </c>
      <c r="B214" s="5">
        <v>212</v>
      </c>
      <c r="C214" s="5">
        <f t="shared" si="18"/>
        <v>212</v>
      </c>
      <c r="D214" s="8">
        <f t="shared" si="19"/>
        <v>56014.400000000001</v>
      </c>
      <c r="E214" s="9">
        <f t="shared" si="20"/>
        <v>161.96655278714266</v>
      </c>
      <c r="F214" s="9">
        <f t="shared" si="21"/>
        <v>52.146307925293755</v>
      </c>
      <c r="G214" s="9">
        <f t="shared" si="22"/>
        <v>214.11286071243643</v>
      </c>
      <c r="H214" s="10">
        <f>D214-SUM($E$3:E214)</f>
        <v>27649.397674036194</v>
      </c>
      <c r="I214" s="5">
        <v>18</v>
      </c>
    </row>
    <row r="215" spans="1:9">
      <c r="A215" s="13">
        <f t="shared" si="23"/>
        <v>48823</v>
      </c>
      <c r="B215" s="5">
        <v>213</v>
      </c>
      <c r="C215" s="5">
        <f t="shared" si="18"/>
        <v>213</v>
      </c>
      <c r="D215" s="8">
        <f t="shared" si="19"/>
        <v>56014.400000000001</v>
      </c>
      <c r="E215" s="9">
        <f t="shared" si="20"/>
        <v>162.27024007361857</v>
      </c>
      <c r="F215" s="9">
        <f t="shared" si="21"/>
        <v>51.84262063881787</v>
      </c>
      <c r="G215" s="9">
        <f t="shared" si="22"/>
        <v>214.11286071243643</v>
      </c>
      <c r="H215" s="10">
        <f>D215-SUM($E$3:E215)</f>
        <v>27487.127433962574</v>
      </c>
      <c r="I215" s="5">
        <v>18</v>
      </c>
    </row>
    <row r="216" spans="1:9">
      <c r="A216" s="13">
        <f t="shared" si="23"/>
        <v>48853</v>
      </c>
      <c r="B216" s="5">
        <v>214</v>
      </c>
      <c r="C216" s="5">
        <f t="shared" si="18"/>
        <v>214</v>
      </c>
      <c r="D216" s="8">
        <f t="shared" si="19"/>
        <v>56014.400000000001</v>
      </c>
      <c r="E216" s="9">
        <f t="shared" si="20"/>
        <v>162.57449677375658</v>
      </c>
      <c r="F216" s="9">
        <f t="shared" si="21"/>
        <v>51.538363938679822</v>
      </c>
      <c r="G216" s="9">
        <f t="shared" si="22"/>
        <v>214.1128607124364</v>
      </c>
      <c r="H216" s="10">
        <f>D216-SUM($E$3:E216)</f>
        <v>27324.552937188819</v>
      </c>
      <c r="I216" s="5">
        <v>18</v>
      </c>
    </row>
    <row r="217" spans="1:9">
      <c r="A217" s="13">
        <f t="shared" si="23"/>
        <v>48884</v>
      </c>
      <c r="B217" s="5">
        <v>215</v>
      </c>
      <c r="C217" s="5">
        <f t="shared" si="18"/>
        <v>215</v>
      </c>
      <c r="D217" s="8">
        <f t="shared" si="19"/>
        <v>56014.400000000001</v>
      </c>
      <c r="E217" s="9">
        <f t="shared" si="20"/>
        <v>162.87932395520741</v>
      </c>
      <c r="F217" s="9">
        <f t="shared" si="21"/>
        <v>51.233536757229039</v>
      </c>
      <c r="G217" s="9">
        <f t="shared" si="22"/>
        <v>214.11286071243646</v>
      </c>
      <c r="H217" s="10">
        <f>D217-SUM($E$3:E217)</f>
        <v>27161.673613233612</v>
      </c>
      <c r="I217" s="5">
        <v>18</v>
      </c>
    </row>
    <row r="218" spans="1:9">
      <c r="A218" s="13">
        <f t="shared" si="23"/>
        <v>48914</v>
      </c>
      <c r="B218" s="5">
        <v>216</v>
      </c>
      <c r="C218" s="5">
        <f t="shared" si="18"/>
        <v>216</v>
      </c>
      <c r="D218" s="8">
        <f t="shared" si="19"/>
        <v>56014.400000000001</v>
      </c>
      <c r="E218" s="9">
        <f t="shared" si="20"/>
        <v>163.18472268762338</v>
      </c>
      <c r="F218" s="9">
        <f t="shared" si="21"/>
        <v>50.92813802481303</v>
      </c>
      <c r="G218" s="9">
        <f t="shared" si="22"/>
        <v>214.1128607124364</v>
      </c>
      <c r="H218" s="10">
        <f>D218-SUM($E$3:E218)</f>
        <v>26998.488890545988</v>
      </c>
      <c r="I218" s="5">
        <v>18</v>
      </c>
    </row>
    <row r="219" spans="1:9">
      <c r="A219" s="13">
        <f t="shared" si="23"/>
        <v>48945</v>
      </c>
      <c r="B219" s="5">
        <v>217</v>
      </c>
      <c r="C219" s="5">
        <f t="shared" si="18"/>
        <v>217</v>
      </c>
      <c r="D219" s="8">
        <f t="shared" si="19"/>
        <v>56014.400000000001</v>
      </c>
      <c r="E219" s="9">
        <f t="shared" si="20"/>
        <v>163.49069404266268</v>
      </c>
      <c r="F219" s="9">
        <f t="shared" si="21"/>
        <v>50.622166669773712</v>
      </c>
      <c r="G219" s="9">
        <f t="shared" si="22"/>
        <v>214.1128607124364</v>
      </c>
      <c r="H219" s="10">
        <f>D219-SUM($E$3:E219)</f>
        <v>26834.998196503326</v>
      </c>
      <c r="I219" s="5">
        <v>19</v>
      </c>
    </row>
    <row r="220" spans="1:9">
      <c r="A220" s="13">
        <f t="shared" si="23"/>
        <v>48976</v>
      </c>
      <c r="B220" s="5">
        <v>218</v>
      </c>
      <c r="C220" s="5">
        <f t="shared" si="18"/>
        <v>218</v>
      </c>
      <c r="D220" s="8">
        <f t="shared" si="19"/>
        <v>56014.400000000001</v>
      </c>
      <c r="E220" s="9">
        <f t="shared" si="20"/>
        <v>163.79723909399266</v>
      </c>
      <c r="F220" s="9">
        <f t="shared" si="21"/>
        <v>50.315621618443743</v>
      </c>
      <c r="G220" s="9">
        <f t="shared" si="22"/>
        <v>214.1128607124364</v>
      </c>
      <c r="H220" s="10">
        <f>D220-SUM($E$3:E220)</f>
        <v>26671.200957409332</v>
      </c>
      <c r="I220" s="5">
        <v>19</v>
      </c>
    </row>
    <row r="221" spans="1:9">
      <c r="A221" s="13">
        <f t="shared" si="23"/>
        <v>49004</v>
      </c>
      <c r="B221" s="5">
        <v>219</v>
      </c>
      <c r="C221" s="5">
        <f t="shared" si="18"/>
        <v>219</v>
      </c>
      <c r="D221" s="8">
        <f t="shared" si="19"/>
        <v>56014.400000000001</v>
      </c>
      <c r="E221" s="9">
        <f t="shared" si="20"/>
        <v>164.10435891729392</v>
      </c>
      <c r="F221" s="9">
        <f t="shared" si="21"/>
        <v>50.008501795142486</v>
      </c>
      <c r="G221" s="9">
        <f t="shared" si="22"/>
        <v>214.1128607124364</v>
      </c>
      <c r="H221" s="10">
        <f>D221-SUM($E$3:E221)</f>
        <v>26507.096598492037</v>
      </c>
      <c r="I221" s="5">
        <v>19</v>
      </c>
    </row>
    <row r="222" spans="1:9">
      <c r="A222" s="13">
        <f t="shared" si="23"/>
        <v>49035</v>
      </c>
      <c r="B222" s="5">
        <v>220</v>
      </c>
      <c r="C222" s="5">
        <f t="shared" si="18"/>
        <v>220</v>
      </c>
      <c r="D222" s="8">
        <f t="shared" si="19"/>
        <v>56014.400000000001</v>
      </c>
      <c r="E222" s="9">
        <f t="shared" si="20"/>
        <v>164.41205459026384</v>
      </c>
      <c r="F222" s="9">
        <f t="shared" si="21"/>
        <v>49.700806122172573</v>
      </c>
      <c r="G222" s="9">
        <f t="shared" si="22"/>
        <v>214.1128607124364</v>
      </c>
      <c r="H222" s="10">
        <f>D222-SUM($E$3:E222)</f>
        <v>26342.684543901774</v>
      </c>
      <c r="I222" s="5">
        <v>19</v>
      </c>
    </row>
    <row r="223" spans="1:9">
      <c r="A223" s="13">
        <f t="shared" si="23"/>
        <v>49065</v>
      </c>
      <c r="B223" s="5">
        <v>221</v>
      </c>
      <c r="C223" s="5">
        <f t="shared" si="18"/>
        <v>221</v>
      </c>
      <c r="D223" s="8">
        <f t="shared" si="19"/>
        <v>56014.400000000001</v>
      </c>
      <c r="E223" s="9">
        <f t="shared" si="20"/>
        <v>164.7203271926206</v>
      </c>
      <c r="F223" s="9">
        <f t="shared" si="21"/>
        <v>49.392533519815835</v>
      </c>
      <c r="G223" s="9">
        <f t="shared" si="22"/>
        <v>214.11286071243643</v>
      </c>
      <c r="H223" s="10">
        <f>D223-SUM($E$3:E223)</f>
        <v>26177.964216709155</v>
      </c>
      <c r="I223" s="5">
        <v>19</v>
      </c>
    </row>
    <row r="224" spans="1:9">
      <c r="A224" s="13">
        <f t="shared" si="23"/>
        <v>49096</v>
      </c>
      <c r="B224" s="5">
        <v>222</v>
      </c>
      <c r="C224" s="5">
        <f t="shared" si="18"/>
        <v>222</v>
      </c>
      <c r="D224" s="8">
        <f t="shared" si="19"/>
        <v>56014.400000000001</v>
      </c>
      <c r="E224" s="9">
        <f t="shared" si="20"/>
        <v>165.02917780610676</v>
      </c>
      <c r="F224" s="9">
        <f t="shared" si="21"/>
        <v>49.083682906329663</v>
      </c>
      <c r="G224" s="9">
        <f t="shared" si="22"/>
        <v>214.11286071243643</v>
      </c>
      <c r="H224" s="10">
        <f>D224-SUM($E$3:E224)</f>
        <v>26012.935038903048</v>
      </c>
      <c r="I224" s="5">
        <v>19</v>
      </c>
    </row>
    <row r="225" spans="1:9">
      <c r="A225" s="13">
        <f t="shared" si="23"/>
        <v>49126</v>
      </c>
      <c r="B225" s="5">
        <v>223</v>
      </c>
      <c r="C225" s="5">
        <f t="shared" si="18"/>
        <v>223</v>
      </c>
      <c r="D225" s="8">
        <f t="shared" si="19"/>
        <v>56014.400000000001</v>
      </c>
      <c r="E225" s="9">
        <f t="shared" si="20"/>
        <v>165.33860751449322</v>
      </c>
      <c r="F225" s="9">
        <f t="shared" si="21"/>
        <v>48.774253197943203</v>
      </c>
      <c r="G225" s="9">
        <f t="shared" si="22"/>
        <v>214.11286071243643</v>
      </c>
      <c r="H225" s="10">
        <f>D225-SUM($E$3:E225)</f>
        <v>25847.596431388556</v>
      </c>
      <c r="I225" s="5">
        <v>19</v>
      </c>
    </row>
    <row r="226" spans="1:9">
      <c r="A226" s="13">
        <f t="shared" si="23"/>
        <v>49157</v>
      </c>
      <c r="B226" s="5">
        <v>224</v>
      </c>
      <c r="C226" s="5">
        <f t="shared" si="18"/>
        <v>224</v>
      </c>
      <c r="D226" s="8">
        <f t="shared" si="19"/>
        <v>56014.400000000001</v>
      </c>
      <c r="E226" s="9">
        <f t="shared" si="20"/>
        <v>165.6486174035829</v>
      </c>
      <c r="F226" s="9">
        <f t="shared" si="21"/>
        <v>48.46424330885354</v>
      </c>
      <c r="G226" s="9">
        <f t="shared" si="22"/>
        <v>214.11286071243643</v>
      </c>
      <c r="H226" s="10">
        <f>D226-SUM($E$3:E226)</f>
        <v>25681.947813984974</v>
      </c>
      <c r="I226" s="5">
        <v>19</v>
      </c>
    </row>
    <row r="227" spans="1:9">
      <c r="A227" s="13">
        <f t="shared" si="23"/>
        <v>49188</v>
      </c>
      <c r="B227" s="5">
        <v>225</v>
      </c>
      <c r="C227" s="5">
        <f t="shared" si="18"/>
        <v>225</v>
      </c>
      <c r="D227" s="8">
        <f t="shared" si="19"/>
        <v>56014.400000000001</v>
      </c>
      <c r="E227" s="9">
        <f t="shared" si="20"/>
        <v>165.95920856121461</v>
      </c>
      <c r="F227" s="9">
        <f t="shared" si="21"/>
        <v>48.153652151221827</v>
      </c>
      <c r="G227" s="9">
        <f t="shared" si="22"/>
        <v>214.11286071243643</v>
      </c>
      <c r="H227" s="10">
        <f>D227-SUM($E$3:E227)</f>
        <v>25515.988605423761</v>
      </c>
      <c r="I227" s="5">
        <v>19</v>
      </c>
    </row>
    <row r="228" spans="1:9">
      <c r="A228" s="13">
        <f t="shared" si="23"/>
        <v>49218</v>
      </c>
      <c r="B228" s="5">
        <v>226</v>
      </c>
      <c r="C228" s="5">
        <f t="shared" si="18"/>
        <v>226</v>
      </c>
      <c r="D228" s="8">
        <f t="shared" si="19"/>
        <v>56014.400000000001</v>
      </c>
      <c r="E228" s="9">
        <f t="shared" si="20"/>
        <v>166.27038207726687</v>
      </c>
      <c r="F228" s="9">
        <f t="shared" si="21"/>
        <v>47.842478635169542</v>
      </c>
      <c r="G228" s="9">
        <f t="shared" si="22"/>
        <v>214.11286071243643</v>
      </c>
      <c r="H228" s="10">
        <f>D228-SUM($E$3:E228)</f>
        <v>25349.718223346496</v>
      </c>
      <c r="I228" s="5">
        <v>19</v>
      </c>
    </row>
    <row r="229" spans="1:9">
      <c r="A229" s="13">
        <f t="shared" si="23"/>
        <v>49249</v>
      </c>
      <c r="B229" s="5">
        <v>227</v>
      </c>
      <c r="C229" s="5">
        <f t="shared" si="18"/>
        <v>227</v>
      </c>
      <c r="D229" s="8">
        <f t="shared" si="19"/>
        <v>56014.400000000001</v>
      </c>
      <c r="E229" s="9">
        <f t="shared" si="20"/>
        <v>166.58213904366175</v>
      </c>
      <c r="F229" s="9">
        <f t="shared" si="21"/>
        <v>47.530721668774667</v>
      </c>
      <c r="G229" s="9">
        <f t="shared" si="22"/>
        <v>214.11286071243643</v>
      </c>
      <c r="H229" s="10">
        <f>D229-SUM($E$3:E229)</f>
        <v>25183.136084302834</v>
      </c>
      <c r="I229" s="5">
        <v>19</v>
      </c>
    </row>
    <row r="230" spans="1:9">
      <c r="A230" s="13">
        <f t="shared" si="23"/>
        <v>49279</v>
      </c>
      <c r="B230" s="5">
        <v>228</v>
      </c>
      <c r="C230" s="5">
        <f t="shared" si="18"/>
        <v>228</v>
      </c>
      <c r="D230" s="8">
        <f t="shared" si="19"/>
        <v>56014.400000000001</v>
      </c>
      <c r="E230" s="9">
        <f t="shared" si="20"/>
        <v>166.89448055436861</v>
      </c>
      <c r="F230" s="9">
        <f t="shared" si="21"/>
        <v>47.218380158067802</v>
      </c>
      <c r="G230" s="9">
        <f t="shared" si="22"/>
        <v>214.11286071243643</v>
      </c>
      <c r="H230" s="10">
        <f>D230-SUM($E$3:E230)</f>
        <v>25016.241603748465</v>
      </c>
      <c r="I230" s="5">
        <v>19</v>
      </c>
    </row>
    <row r="231" spans="1:9">
      <c r="A231" s="13">
        <f t="shared" si="23"/>
        <v>49310</v>
      </c>
      <c r="B231" s="5">
        <v>229</v>
      </c>
      <c r="C231" s="5">
        <f t="shared" si="18"/>
        <v>229</v>
      </c>
      <c r="D231" s="8">
        <f t="shared" si="19"/>
        <v>56014.400000000001</v>
      </c>
      <c r="E231" s="9">
        <f t="shared" si="20"/>
        <v>167.20740770540809</v>
      </c>
      <c r="F231" s="9">
        <f t="shared" si="21"/>
        <v>46.905453007028363</v>
      </c>
      <c r="G231" s="9">
        <f t="shared" si="22"/>
        <v>214.11286071243646</v>
      </c>
      <c r="H231" s="10">
        <f>D231-SUM($E$3:E231)</f>
        <v>24849.034196043056</v>
      </c>
      <c r="I231" s="5">
        <v>20</v>
      </c>
    </row>
    <row r="232" spans="1:9">
      <c r="A232" s="13">
        <f t="shared" si="23"/>
        <v>49341</v>
      </c>
      <c r="B232" s="5">
        <v>230</v>
      </c>
      <c r="C232" s="5">
        <f t="shared" si="18"/>
        <v>230</v>
      </c>
      <c r="D232" s="8">
        <f t="shared" si="19"/>
        <v>56014.400000000001</v>
      </c>
      <c r="E232" s="9">
        <f t="shared" si="20"/>
        <v>167.52092159485571</v>
      </c>
      <c r="F232" s="9">
        <f t="shared" si="21"/>
        <v>46.591939117580722</v>
      </c>
      <c r="G232" s="9">
        <f t="shared" si="22"/>
        <v>214.11286071243643</v>
      </c>
      <c r="H232" s="10">
        <f>D232-SUM($E$3:E232)</f>
        <v>24681.5132744482</v>
      </c>
      <c r="I232" s="5">
        <v>20</v>
      </c>
    </row>
    <row r="233" spans="1:9">
      <c r="A233" s="13">
        <f t="shared" si="23"/>
        <v>49369</v>
      </c>
      <c r="B233" s="5">
        <v>231</v>
      </c>
      <c r="C233" s="5">
        <f t="shared" si="18"/>
        <v>231</v>
      </c>
      <c r="D233" s="8">
        <f t="shared" si="19"/>
        <v>56014.400000000001</v>
      </c>
      <c r="E233" s="9">
        <f t="shared" si="20"/>
        <v>167.83502332284607</v>
      </c>
      <c r="F233" s="9">
        <f t="shared" si="21"/>
        <v>46.277837389590367</v>
      </c>
      <c r="G233" s="9">
        <f t="shared" si="22"/>
        <v>214.11286071243643</v>
      </c>
      <c r="H233" s="10">
        <f>D233-SUM($E$3:E233)</f>
        <v>24513.678251125355</v>
      </c>
      <c r="I233" s="5">
        <v>20</v>
      </c>
    </row>
    <row r="234" spans="1:9">
      <c r="A234" s="13">
        <f t="shared" si="23"/>
        <v>49400</v>
      </c>
      <c r="B234" s="5">
        <v>232</v>
      </c>
      <c r="C234" s="5">
        <f t="shared" si="18"/>
        <v>232</v>
      </c>
      <c r="D234" s="8">
        <f t="shared" si="19"/>
        <v>56014.400000000001</v>
      </c>
      <c r="E234" s="9">
        <f t="shared" si="20"/>
        <v>168.14971399157639</v>
      </c>
      <c r="F234" s="9">
        <f t="shared" si="21"/>
        <v>45.963146720860024</v>
      </c>
      <c r="G234" s="9">
        <f t="shared" si="22"/>
        <v>214.11286071243643</v>
      </c>
      <c r="H234" s="10">
        <f>D234-SUM($E$3:E234)</f>
        <v>24345.528537133778</v>
      </c>
      <c r="I234" s="5">
        <v>20</v>
      </c>
    </row>
    <row r="235" spans="1:9">
      <c r="A235" s="13">
        <f t="shared" si="23"/>
        <v>49430</v>
      </c>
      <c r="B235" s="5">
        <v>233</v>
      </c>
      <c r="C235" s="5">
        <f t="shared" si="18"/>
        <v>233</v>
      </c>
      <c r="D235" s="8">
        <f t="shared" si="19"/>
        <v>56014.400000000001</v>
      </c>
      <c r="E235" s="9">
        <f t="shared" si="20"/>
        <v>168.4649947053106</v>
      </c>
      <c r="F235" s="9">
        <f t="shared" si="21"/>
        <v>45.647866007125828</v>
      </c>
      <c r="G235" s="9">
        <f t="shared" si="22"/>
        <v>214.11286071243643</v>
      </c>
      <c r="H235" s="10">
        <f>D235-SUM($E$3:E235)</f>
        <v>24177.063542428466</v>
      </c>
      <c r="I235" s="5">
        <v>20</v>
      </c>
    </row>
    <row r="236" spans="1:9">
      <c r="A236" s="13">
        <f t="shared" si="23"/>
        <v>49461</v>
      </c>
      <c r="B236" s="5">
        <v>234</v>
      </c>
      <c r="C236" s="5">
        <f t="shared" si="18"/>
        <v>234</v>
      </c>
      <c r="D236" s="8">
        <f t="shared" si="19"/>
        <v>56014.400000000001</v>
      </c>
      <c r="E236" s="9">
        <f t="shared" si="20"/>
        <v>168.78086657038307</v>
      </c>
      <c r="F236" s="9">
        <f t="shared" si="21"/>
        <v>45.331994142053368</v>
      </c>
      <c r="G236" s="9">
        <f t="shared" si="22"/>
        <v>214.11286071243643</v>
      </c>
      <c r="H236" s="10">
        <f>D236-SUM($E$3:E236)</f>
        <v>24008.282675858085</v>
      </c>
      <c r="I236" s="5">
        <v>20</v>
      </c>
    </row>
    <row r="237" spans="1:9">
      <c r="A237" s="13">
        <f t="shared" si="23"/>
        <v>49491</v>
      </c>
      <c r="B237" s="5">
        <v>235</v>
      </c>
      <c r="C237" s="5">
        <f t="shared" si="18"/>
        <v>235</v>
      </c>
      <c r="D237" s="8">
        <f t="shared" si="19"/>
        <v>56014.400000000001</v>
      </c>
      <c r="E237" s="9">
        <f t="shared" si="20"/>
        <v>169.09733069520252</v>
      </c>
      <c r="F237" s="9">
        <f t="shared" si="21"/>
        <v>45.0155300172339</v>
      </c>
      <c r="G237" s="9">
        <f t="shared" si="22"/>
        <v>214.11286071243643</v>
      </c>
      <c r="H237" s="10">
        <f>D237-SUM($E$3:E237)</f>
        <v>23839.185345162881</v>
      </c>
      <c r="I237" s="5">
        <v>20</v>
      </c>
    </row>
    <row r="238" spans="1:9">
      <c r="A238" s="13">
        <f t="shared" si="23"/>
        <v>49522</v>
      </c>
      <c r="B238" s="5">
        <v>236</v>
      </c>
      <c r="C238" s="5">
        <f t="shared" si="18"/>
        <v>236</v>
      </c>
      <c r="D238" s="8">
        <f t="shared" si="19"/>
        <v>56014.400000000001</v>
      </c>
      <c r="E238" s="9">
        <f t="shared" si="20"/>
        <v>169.41438819025603</v>
      </c>
      <c r="F238" s="9">
        <f t="shared" si="21"/>
        <v>44.698472522180388</v>
      </c>
      <c r="G238" s="9">
        <f t="shared" si="22"/>
        <v>214.11286071243643</v>
      </c>
      <c r="H238" s="10">
        <f>D238-SUM($E$3:E238)</f>
        <v>23669.770956972625</v>
      </c>
      <c r="I238" s="5">
        <v>20</v>
      </c>
    </row>
    <row r="239" spans="1:9">
      <c r="A239" s="13">
        <f t="shared" si="23"/>
        <v>49553</v>
      </c>
      <c r="B239" s="5">
        <v>237</v>
      </c>
      <c r="C239" s="5">
        <f t="shared" si="18"/>
        <v>237</v>
      </c>
      <c r="D239" s="8">
        <f t="shared" si="19"/>
        <v>56014.400000000001</v>
      </c>
      <c r="E239" s="9">
        <f t="shared" si="20"/>
        <v>169.73204016811277</v>
      </c>
      <c r="F239" s="9">
        <f t="shared" si="21"/>
        <v>44.380820544323662</v>
      </c>
      <c r="G239" s="9">
        <f t="shared" si="22"/>
        <v>214.11286071243643</v>
      </c>
      <c r="H239" s="10">
        <f>D239-SUM($E$3:E239)</f>
        <v>23500.038916804511</v>
      </c>
      <c r="I239" s="5">
        <v>20</v>
      </c>
    </row>
    <row r="240" spans="1:9">
      <c r="A240" s="13">
        <f t="shared" si="23"/>
        <v>49583</v>
      </c>
      <c r="B240" s="5">
        <v>238</v>
      </c>
      <c r="C240" s="5">
        <f t="shared" si="18"/>
        <v>238</v>
      </c>
      <c r="D240" s="8">
        <f t="shared" si="19"/>
        <v>56014.400000000001</v>
      </c>
      <c r="E240" s="9">
        <f t="shared" si="20"/>
        <v>170.05028774342799</v>
      </c>
      <c r="F240" s="9">
        <f t="shared" si="21"/>
        <v>44.062572969008457</v>
      </c>
      <c r="G240" s="9">
        <f t="shared" si="22"/>
        <v>214.11286071243643</v>
      </c>
      <c r="H240" s="10">
        <f>D240-SUM($E$3:E240)</f>
        <v>23329.988629061085</v>
      </c>
      <c r="I240" s="5">
        <v>20</v>
      </c>
    </row>
    <row r="241" spans="1:9">
      <c r="A241" s="13">
        <f t="shared" si="23"/>
        <v>49614</v>
      </c>
      <c r="B241" s="5">
        <v>239</v>
      </c>
      <c r="C241" s="5">
        <f t="shared" si="18"/>
        <v>239</v>
      </c>
      <c r="D241" s="8">
        <f t="shared" si="19"/>
        <v>56014.400000000001</v>
      </c>
      <c r="E241" s="9">
        <f t="shared" si="20"/>
        <v>170.36913203294691</v>
      </c>
      <c r="F241" s="9">
        <f t="shared" si="21"/>
        <v>43.743728679489536</v>
      </c>
      <c r="G241" s="9">
        <f t="shared" si="22"/>
        <v>214.11286071243643</v>
      </c>
      <c r="H241" s="10">
        <f>D241-SUM($E$3:E241)</f>
        <v>23159.619497028136</v>
      </c>
      <c r="I241" s="5">
        <v>20</v>
      </c>
    </row>
    <row r="242" spans="1:9">
      <c r="A242" s="13">
        <f t="shared" si="23"/>
        <v>49644</v>
      </c>
      <c r="B242" s="5">
        <v>240</v>
      </c>
      <c r="C242" s="5">
        <f t="shared" si="18"/>
        <v>240</v>
      </c>
      <c r="D242" s="8">
        <f t="shared" si="19"/>
        <v>56014.400000000001</v>
      </c>
      <c r="E242" s="9">
        <f t="shared" si="20"/>
        <v>170.68857415550866</v>
      </c>
      <c r="F242" s="9">
        <f t="shared" si="21"/>
        <v>43.424286556927754</v>
      </c>
      <c r="G242" s="9">
        <f t="shared" si="22"/>
        <v>214.11286071243643</v>
      </c>
      <c r="H242" s="10">
        <f>D242-SUM($E$3:E242)</f>
        <v>22988.930922872627</v>
      </c>
      <c r="I242" s="5">
        <v>20</v>
      </c>
    </row>
    <row r="243" spans="1:9">
      <c r="A243" s="13">
        <f t="shared" si="23"/>
        <v>49675</v>
      </c>
      <c r="B243" s="5">
        <v>241</v>
      </c>
      <c r="C243" s="5">
        <f t="shared" si="18"/>
        <v>241</v>
      </c>
      <c r="D243" s="8">
        <f t="shared" si="19"/>
        <v>56014.400000000001</v>
      </c>
      <c r="E243" s="9">
        <f t="shared" si="20"/>
        <v>171.00861523205026</v>
      </c>
      <c r="F243" s="9">
        <f t="shared" si="21"/>
        <v>43.104245480386169</v>
      </c>
      <c r="G243" s="9">
        <f t="shared" si="22"/>
        <v>214.11286071243643</v>
      </c>
      <c r="H243" s="10">
        <f>D243-SUM($E$3:E243)</f>
        <v>22817.922307640576</v>
      </c>
      <c r="I243" s="5">
        <v>21</v>
      </c>
    </row>
    <row r="244" spans="1:9">
      <c r="A244" s="13">
        <f t="shared" si="23"/>
        <v>49706</v>
      </c>
      <c r="B244" s="5">
        <v>242</v>
      </c>
      <c r="C244" s="5">
        <f t="shared" si="18"/>
        <v>242</v>
      </c>
      <c r="D244" s="8">
        <f t="shared" si="19"/>
        <v>56014.400000000001</v>
      </c>
      <c r="E244" s="9">
        <f t="shared" si="20"/>
        <v>171.32925638561034</v>
      </c>
      <c r="F244" s="9">
        <f t="shared" si="21"/>
        <v>42.78360432682608</v>
      </c>
      <c r="G244" s="9">
        <f t="shared" si="22"/>
        <v>214.11286071243643</v>
      </c>
      <c r="H244" s="10">
        <f>D244-SUM($E$3:E244)</f>
        <v>22646.593051254968</v>
      </c>
      <c r="I244" s="5">
        <v>21</v>
      </c>
    </row>
    <row r="245" spans="1:9">
      <c r="A245" s="13">
        <f t="shared" si="23"/>
        <v>49735</v>
      </c>
      <c r="B245" s="5">
        <v>243</v>
      </c>
      <c r="C245" s="5">
        <f t="shared" si="18"/>
        <v>243</v>
      </c>
      <c r="D245" s="8">
        <f t="shared" si="19"/>
        <v>56014.400000000001</v>
      </c>
      <c r="E245" s="9">
        <f t="shared" si="20"/>
        <v>171.65049874133337</v>
      </c>
      <c r="F245" s="9">
        <f t="shared" si="21"/>
        <v>42.462361971103064</v>
      </c>
      <c r="G245" s="9">
        <f t="shared" si="22"/>
        <v>214.11286071243643</v>
      </c>
      <c r="H245" s="10">
        <f>D245-SUM($E$3:E245)</f>
        <v>22474.942552513632</v>
      </c>
      <c r="I245" s="5">
        <v>21</v>
      </c>
    </row>
    <row r="246" spans="1:9">
      <c r="A246" s="13">
        <f t="shared" si="23"/>
        <v>49766</v>
      </c>
      <c r="B246" s="5">
        <v>244</v>
      </c>
      <c r="C246" s="5">
        <f t="shared" si="18"/>
        <v>244</v>
      </c>
      <c r="D246" s="8">
        <f t="shared" si="19"/>
        <v>56014.400000000001</v>
      </c>
      <c r="E246" s="9">
        <f t="shared" si="20"/>
        <v>171.97234342647337</v>
      </c>
      <c r="F246" s="9">
        <f t="shared" si="21"/>
        <v>42.14051728596305</v>
      </c>
      <c r="G246" s="9">
        <f t="shared" si="22"/>
        <v>214.11286071243643</v>
      </c>
      <c r="H246" s="10">
        <f>D246-SUM($E$3:E246)</f>
        <v>22302.970209087158</v>
      </c>
      <c r="I246" s="5">
        <v>21</v>
      </c>
    </row>
    <row r="247" spans="1:9">
      <c r="A247" s="13">
        <f t="shared" si="23"/>
        <v>49796</v>
      </c>
      <c r="B247" s="5">
        <v>245</v>
      </c>
      <c r="C247" s="5">
        <f t="shared" si="18"/>
        <v>245</v>
      </c>
      <c r="D247" s="8">
        <f t="shared" si="19"/>
        <v>56014.400000000001</v>
      </c>
      <c r="E247" s="9">
        <f t="shared" si="20"/>
        <v>172.29479157039799</v>
      </c>
      <c r="F247" s="9">
        <f t="shared" si="21"/>
        <v>41.818069142038418</v>
      </c>
      <c r="G247" s="9">
        <f t="shared" si="22"/>
        <v>214.1128607124364</v>
      </c>
      <c r="H247" s="10">
        <f>D247-SUM($E$3:E247)</f>
        <v>22130.675417516759</v>
      </c>
      <c r="I247" s="5">
        <v>21</v>
      </c>
    </row>
    <row r="248" spans="1:9">
      <c r="A248" s="13">
        <f t="shared" si="23"/>
        <v>49827</v>
      </c>
      <c r="B248" s="5">
        <v>246</v>
      </c>
      <c r="C248" s="5">
        <f t="shared" si="18"/>
        <v>246</v>
      </c>
      <c r="D248" s="8">
        <f t="shared" si="19"/>
        <v>56014.400000000001</v>
      </c>
      <c r="E248" s="9">
        <f t="shared" si="20"/>
        <v>172.6178443045925</v>
      </c>
      <c r="F248" s="9">
        <f t="shared" si="21"/>
        <v>41.49501640784392</v>
      </c>
      <c r="G248" s="9">
        <f t="shared" si="22"/>
        <v>214.11286071243643</v>
      </c>
      <c r="H248" s="10">
        <f>D248-SUM($E$3:E248)</f>
        <v>21958.057573212165</v>
      </c>
      <c r="I248" s="5">
        <v>21</v>
      </c>
    </row>
    <row r="249" spans="1:9">
      <c r="A249" s="13">
        <f t="shared" si="23"/>
        <v>49857</v>
      </c>
      <c r="B249" s="5">
        <v>247</v>
      </c>
      <c r="C249" s="5">
        <f t="shared" si="18"/>
        <v>247</v>
      </c>
      <c r="D249" s="8">
        <f t="shared" si="19"/>
        <v>56014.400000000001</v>
      </c>
      <c r="E249" s="9">
        <f t="shared" si="20"/>
        <v>172.94150276266362</v>
      </c>
      <c r="F249" s="9">
        <f t="shared" si="21"/>
        <v>41.171357949772805</v>
      </c>
      <c r="G249" s="9">
        <f t="shared" si="22"/>
        <v>214.11286071243643</v>
      </c>
      <c r="H249" s="10">
        <f>D249-SUM($E$3:E249)</f>
        <v>21785.116070449505</v>
      </c>
      <c r="I249" s="5">
        <v>21</v>
      </c>
    </row>
    <row r="250" spans="1:9">
      <c r="A250" s="13">
        <f t="shared" si="23"/>
        <v>49888</v>
      </c>
      <c r="B250" s="5">
        <v>248</v>
      </c>
      <c r="C250" s="5">
        <f t="shared" si="18"/>
        <v>248</v>
      </c>
      <c r="D250" s="8">
        <f t="shared" si="19"/>
        <v>56014.400000000001</v>
      </c>
      <c r="E250" s="9">
        <f t="shared" si="20"/>
        <v>173.26576808034361</v>
      </c>
      <c r="F250" s="9">
        <f t="shared" si="21"/>
        <v>40.847092632092817</v>
      </c>
      <c r="G250" s="9">
        <f t="shared" si="22"/>
        <v>214.11286071243643</v>
      </c>
      <c r="H250" s="10">
        <f>D250-SUM($E$3:E250)</f>
        <v>21611.850302369159</v>
      </c>
      <c r="I250" s="5">
        <v>21</v>
      </c>
    </row>
    <row r="251" spans="1:9">
      <c r="A251" s="13">
        <f t="shared" si="23"/>
        <v>49919</v>
      </c>
      <c r="B251" s="5">
        <v>249</v>
      </c>
      <c r="C251" s="5">
        <f t="shared" si="18"/>
        <v>249</v>
      </c>
      <c r="D251" s="8">
        <f t="shared" si="19"/>
        <v>56014.400000000001</v>
      </c>
      <c r="E251" s="9">
        <f t="shared" si="20"/>
        <v>173.59064139549426</v>
      </c>
      <c r="F251" s="9">
        <f t="shared" si="21"/>
        <v>40.52221931694217</v>
      </c>
      <c r="G251" s="9">
        <f t="shared" si="22"/>
        <v>214.11286071243643</v>
      </c>
      <c r="H251" s="10">
        <f>D251-SUM($E$3:E251)</f>
        <v>21438.259660973665</v>
      </c>
      <c r="I251" s="5">
        <v>21</v>
      </c>
    </row>
    <row r="252" spans="1:9">
      <c r="A252" s="13">
        <f t="shared" si="23"/>
        <v>49949</v>
      </c>
      <c r="B252" s="5">
        <v>250</v>
      </c>
      <c r="C252" s="5">
        <f t="shared" si="18"/>
        <v>250</v>
      </c>
      <c r="D252" s="8">
        <f t="shared" si="19"/>
        <v>56014.400000000001</v>
      </c>
      <c r="E252" s="9">
        <f t="shared" si="20"/>
        <v>173.9161238481108</v>
      </c>
      <c r="F252" s="9">
        <f t="shared" si="21"/>
        <v>40.196736864325622</v>
      </c>
      <c r="G252" s="9">
        <f t="shared" si="22"/>
        <v>214.11286071243643</v>
      </c>
      <c r="H252" s="10">
        <f>D252-SUM($E$3:E252)</f>
        <v>21264.343537125555</v>
      </c>
      <c r="I252" s="5">
        <v>21</v>
      </c>
    </row>
    <row r="253" spans="1:9">
      <c r="A253" s="13">
        <f t="shared" si="23"/>
        <v>49980</v>
      </c>
      <c r="B253" s="5">
        <v>251</v>
      </c>
      <c r="C253" s="5">
        <f t="shared" si="18"/>
        <v>251</v>
      </c>
      <c r="D253" s="8">
        <f t="shared" si="19"/>
        <v>56014.400000000001</v>
      </c>
      <c r="E253" s="9">
        <f t="shared" si="20"/>
        <v>174.24221658032599</v>
      </c>
      <c r="F253" s="9">
        <f t="shared" si="21"/>
        <v>39.870644132110414</v>
      </c>
      <c r="G253" s="9">
        <f t="shared" si="22"/>
        <v>214.1128607124364</v>
      </c>
      <c r="H253" s="10">
        <f>D253-SUM($E$3:E253)</f>
        <v>21090.101320545225</v>
      </c>
      <c r="I253" s="5">
        <v>21</v>
      </c>
    </row>
    <row r="254" spans="1:9">
      <c r="A254" s="13">
        <f t="shared" si="23"/>
        <v>50010</v>
      </c>
      <c r="B254" s="5">
        <v>252</v>
      </c>
      <c r="C254" s="5">
        <f t="shared" si="18"/>
        <v>252</v>
      </c>
      <c r="D254" s="8">
        <f t="shared" si="19"/>
        <v>56014.400000000001</v>
      </c>
      <c r="E254" s="9">
        <f t="shared" si="20"/>
        <v>174.5689207364141</v>
      </c>
      <c r="F254" s="9">
        <f t="shared" si="21"/>
        <v>39.543939976022301</v>
      </c>
      <c r="G254" s="9">
        <f t="shared" si="22"/>
        <v>214.1128607124364</v>
      </c>
      <c r="H254" s="10">
        <f>D254-SUM($E$3:E254)</f>
        <v>20915.532399808813</v>
      </c>
      <c r="I254" s="5">
        <v>21</v>
      </c>
    </row>
    <row r="255" spans="1:9">
      <c r="A255" s="13">
        <f t="shared" si="23"/>
        <v>50041</v>
      </c>
      <c r="B255" s="5">
        <v>253</v>
      </c>
      <c r="C255" s="5">
        <f t="shared" si="18"/>
        <v>253</v>
      </c>
      <c r="D255" s="8">
        <f t="shared" si="19"/>
        <v>56014.400000000001</v>
      </c>
      <c r="E255" s="9">
        <f t="shared" si="20"/>
        <v>174.89623746279489</v>
      </c>
      <c r="F255" s="9">
        <f t="shared" si="21"/>
        <v>39.216623249641522</v>
      </c>
      <c r="G255" s="9">
        <f t="shared" si="22"/>
        <v>214.1128607124364</v>
      </c>
      <c r="H255" s="10">
        <f>D255-SUM($E$3:E255)</f>
        <v>20740.636162346018</v>
      </c>
      <c r="I255" s="5">
        <v>22</v>
      </c>
    </row>
    <row r="256" spans="1:9">
      <c r="A256" s="13">
        <f t="shared" si="23"/>
        <v>50072</v>
      </c>
      <c r="B256" s="5">
        <v>254</v>
      </c>
      <c r="C256" s="5">
        <f t="shared" si="18"/>
        <v>254</v>
      </c>
      <c r="D256" s="8">
        <f t="shared" si="19"/>
        <v>56014.400000000001</v>
      </c>
      <c r="E256" s="9">
        <f t="shared" si="20"/>
        <v>175.22416790803763</v>
      </c>
      <c r="F256" s="9">
        <f t="shared" si="21"/>
        <v>38.888692804398787</v>
      </c>
      <c r="G256" s="9">
        <f t="shared" si="22"/>
        <v>214.11286071243643</v>
      </c>
      <c r="H256" s="10">
        <f>D256-SUM($E$3:E256)</f>
        <v>20565.411994437978</v>
      </c>
      <c r="I256" s="5">
        <v>22</v>
      </c>
    </row>
    <row r="257" spans="1:9">
      <c r="A257" s="13">
        <f t="shared" si="23"/>
        <v>50100</v>
      </c>
      <c r="B257" s="5">
        <v>255</v>
      </c>
      <c r="C257" s="5">
        <f t="shared" si="18"/>
        <v>255</v>
      </c>
      <c r="D257" s="8">
        <f t="shared" si="19"/>
        <v>56014.400000000001</v>
      </c>
      <c r="E257" s="9">
        <f t="shared" si="20"/>
        <v>175.55271322286518</v>
      </c>
      <c r="F257" s="9">
        <f t="shared" si="21"/>
        <v>38.560147489571214</v>
      </c>
      <c r="G257" s="9">
        <f t="shared" si="22"/>
        <v>214.1128607124364</v>
      </c>
      <c r="H257" s="10">
        <f>D257-SUM($E$3:E257)</f>
        <v>20389.859281215111</v>
      </c>
      <c r="I257" s="5">
        <v>22</v>
      </c>
    </row>
    <row r="258" spans="1:9">
      <c r="A258" s="13">
        <f t="shared" si="23"/>
        <v>50131</v>
      </c>
      <c r="B258" s="5">
        <v>256</v>
      </c>
      <c r="C258" s="5">
        <f t="shared" si="18"/>
        <v>256</v>
      </c>
      <c r="D258" s="8">
        <f t="shared" si="19"/>
        <v>56014.400000000001</v>
      </c>
      <c r="E258" s="9">
        <f t="shared" si="20"/>
        <v>175.88187456015808</v>
      </c>
      <c r="F258" s="9">
        <f t="shared" si="21"/>
        <v>38.230986152278348</v>
      </c>
      <c r="G258" s="9">
        <f t="shared" si="22"/>
        <v>214.11286071243643</v>
      </c>
      <c r="H258" s="10">
        <f>D258-SUM($E$3:E258)</f>
        <v>20213.977406654951</v>
      </c>
      <c r="I258" s="5">
        <v>22</v>
      </c>
    </row>
    <row r="259" spans="1:9">
      <c r="A259" s="13">
        <f t="shared" si="23"/>
        <v>50161</v>
      </c>
      <c r="B259" s="5">
        <v>257</v>
      </c>
      <c r="C259" s="5">
        <f t="shared" ref="C259:C322" si="24">IF(B259&lt;=$O$7,0,C258+1)</f>
        <v>257</v>
      </c>
      <c r="D259" s="8">
        <f t="shared" ref="D259:D322" si="25">$L$3</f>
        <v>56014.400000000001</v>
      </c>
      <c r="E259" s="9">
        <f t="shared" ref="E259:E322" si="26">IF(C259=0,0,-PPMT($L$4/12,$C259,$L$5*12,D259,0))</f>
        <v>176.21165307495838</v>
      </c>
      <c r="F259" s="9">
        <f t="shared" ref="F259:F322" si="27">IF(C259=0,D259*$L$4/12,-IPMT($L$4/12,C259,$L$5*12,D259,0))</f>
        <v>37.901207637478045</v>
      </c>
      <c r="G259" s="9">
        <f t="shared" ref="G259:G322" si="28">+E259+F259</f>
        <v>214.11286071243643</v>
      </c>
      <c r="H259" s="10">
        <f>D259-SUM($E$3:E259)</f>
        <v>20037.765753579995</v>
      </c>
      <c r="I259" s="5">
        <v>22</v>
      </c>
    </row>
    <row r="260" spans="1:9">
      <c r="A260" s="13">
        <f t="shared" ref="A260:A323" si="29">+EDATE(A259,1)</f>
        <v>50192</v>
      </c>
      <c r="B260" s="5">
        <v>258</v>
      </c>
      <c r="C260" s="5">
        <f t="shared" si="24"/>
        <v>258</v>
      </c>
      <c r="D260" s="8">
        <f t="shared" si="25"/>
        <v>56014.400000000001</v>
      </c>
      <c r="E260" s="9">
        <f t="shared" si="26"/>
        <v>176.54204992447393</v>
      </c>
      <c r="F260" s="9">
        <f t="shared" si="27"/>
        <v>37.570810787962493</v>
      </c>
      <c r="G260" s="9">
        <f t="shared" si="28"/>
        <v>214.11286071243643</v>
      </c>
      <c r="H260" s="10">
        <f>D260-SUM($E$3:E260)</f>
        <v>19861.223703655523</v>
      </c>
      <c r="I260" s="5">
        <v>22</v>
      </c>
    </row>
    <row r="261" spans="1:9">
      <c r="A261" s="13">
        <f t="shared" si="29"/>
        <v>50222</v>
      </c>
      <c r="B261" s="5">
        <v>259</v>
      </c>
      <c r="C261" s="5">
        <f t="shared" si="24"/>
        <v>259</v>
      </c>
      <c r="D261" s="8">
        <f t="shared" si="25"/>
        <v>56014.400000000001</v>
      </c>
      <c r="E261" s="9">
        <f t="shared" si="26"/>
        <v>176.87306626808231</v>
      </c>
      <c r="F261" s="9">
        <f t="shared" si="27"/>
        <v>37.239794444354104</v>
      </c>
      <c r="G261" s="9">
        <f t="shared" si="28"/>
        <v>214.11286071243643</v>
      </c>
      <c r="H261" s="10">
        <f>D261-SUM($E$3:E261)</f>
        <v>19684.350637387441</v>
      </c>
      <c r="I261" s="5">
        <v>22</v>
      </c>
    </row>
    <row r="262" spans="1:9">
      <c r="A262" s="13">
        <f t="shared" si="29"/>
        <v>50253</v>
      </c>
      <c r="B262" s="5">
        <v>260</v>
      </c>
      <c r="C262" s="5">
        <f t="shared" si="24"/>
        <v>260</v>
      </c>
      <c r="D262" s="8">
        <f t="shared" si="25"/>
        <v>56014.400000000001</v>
      </c>
      <c r="E262" s="9">
        <f t="shared" si="26"/>
        <v>177.20470326733493</v>
      </c>
      <c r="F262" s="9">
        <f t="shared" si="27"/>
        <v>36.908157445101452</v>
      </c>
      <c r="G262" s="9">
        <f t="shared" si="28"/>
        <v>214.11286071243637</v>
      </c>
      <c r="H262" s="10">
        <f>D262-SUM($E$3:E262)</f>
        <v>19507.145934120104</v>
      </c>
      <c r="I262" s="5">
        <v>22</v>
      </c>
    </row>
    <row r="263" spans="1:9">
      <c r="A263" s="13">
        <f t="shared" si="29"/>
        <v>50284</v>
      </c>
      <c r="B263" s="5">
        <v>261</v>
      </c>
      <c r="C263" s="5">
        <f t="shared" si="24"/>
        <v>261</v>
      </c>
      <c r="D263" s="8">
        <f t="shared" si="25"/>
        <v>56014.400000000001</v>
      </c>
      <c r="E263" s="9">
        <f t="shared" si="26"/>
        <v>177.53696208596122</v>
      </c>
      <c r="F263" s="9">
        <f t="shared" si="27"/>
        <v>36.575898626475201</v>
      </c>
      <c r="G263" s="9">
        <f t="shared" si="28"/>
        <v>214.11286071243643</v>
      </c>
      <c r="H263" s="10">
        <f>D263-SUM($E$3:E263)</f>
        <v>19329.608972034141</v>
      </c>
      <c r="I263" s="5">
        <v>22</v>
      </c>
    </row>
    <row r="264" spans="1:9">
      <c r="A264" s="13">
        <f t="shared" si="29"/>
        <v>50314</v>
      </c>
      <c r="B264" s="5">
        <v>262</v>
      </c>
      <c r="C264" s="5">
        <f t="shared" si="24"/>
        <v>262</v>
      </c>
      <c r="D264" s="8">
        <f t="shared" si="25"/>
        <v>56014.400000000001</v>
      </c>
      <c r="E264" s="9">
        <f t="shared" si="26"/>
        <v>177.86984388987241</v>
      </c>
      <c r="F264" s="9">
        <f t="shared" si="27"/>
        <v>36.243016822564023</v>
      </c>
      <c r="G264" s="9">
        <f t="shared" si="28"/>
        <v>214.11286071243643</v>
      </c>
      <c r="H264" s="10">
        <f>D264-SUM($E$3:E264)</f>
        <v>19151.739128144269</v>
      </c>
      <c r="I264" s="5">
        <v>22</v>
      </c>
    </row>
    <row r="265" spans="1:9">
      <c r="A265" s="13">
        <f t="shared" si="29"/>
        <v>50345</v>
      </c>
      <c r="B265" s="5">
        <v>263</v>
      </c>
      <c r="C265" s="5">
        <f t="shared" si="24"/>
        <v>263</v>
      </c>
      <c r="D265" s="8">
        <f t="shared" si="25"/>
        <v>56014.400000000001</v>
      </c>
      <c r="E265" s="9">
        <f t="shared" si="26"/>
        <v>178.2033498471659</v>
      </c>
      <c r="F265" s="9">
        <f t="shared" si="27"/>
        <v>35.909510865270519</v>
      </c>
      <c r="G265" s="9">
        <f t="shared" si="28"/>
        <v>214.11286071243643</v>
      </c>
      <c r="H265" s="10">
        <f>D265-SUM($E$3:E265)</f>
        <v>18973.535778297104</v>
      </c>
      <c r="I265" s="5">
        <v>22</v>
      </c>
    </row>
    <row r="266" spans="1:9">
      <c r="A266" s="13">
        <f t="shared" si="29"/>
        <v>50375</v>
      </c>
      <c r="B266" s="5">
        <v>264</v>
      </c>
      <c r="C266" s="5">
        <f t="shared" si="24"/>
        <v>264</v>
      </c>
      <c r="D266" s="8">
        <f t="shared" si="25"/>
        <v>56014.400000000001</v>
      </c>
      <c r="E266" s="9">
        <f t="shared" si="26"/>
        <v>178.53748112812934</v>
      </c>
      <c r="F266" s="9">
        <f t="shared" si="27"/>
        <v>35.575379584307079</v>
      </c>
      <c r="G266" s="9">
        <f t="shared" si="28"/>
        <v>214.11286071243643</v>
      </c>
      <c r="H266" s="10">
        <f>D266-SUM($E$3:E266)</f>
        <v>18794.998297168975</v>
      </c>
      <c r="I266" s="5">
        <v>22</v>
      </c>
    </row>
    <row r="267" spans="1:9">
      <c r="A267" s="13">
        <f t="shared" si="29"/>
        <v>50406</v>
      </c>
      <c r="B267" s="5">
        <v>265</v>
      </c>
      <c r="C267" s="5">
        <f t="shared" si="24"/>
        <v>265</v>
      </c>
      <c r="D267" s="8">
        <f t="shared" si="25"/>
        <v>56014.400000000001</v>
      </c>
      <c r="E267" s="9">
        <f t="shared" si="26"/>
        <v>178.87223890524459</v>
      </c>
      <c r="F267" s="9">
        <f t="shared" si="27"/>
        <v>35.240621807191836</v>
      </c>
      <c r="G267" s="9">
        <f t="shared" si="28"/>
        <v>214.11286071243643</v>
      </c>
      <c r="H267" s="10">
        <f>D267-SUM($E$3:E267)</f>
        <v>18616.126058263733</v>
      </c>
      <c r="I267" s="5">
        <v>23</v>
      </c>
    </row>
    <row r="268" spans="1:9">
      <c r="A268" s="13">
        <f t="shared" si="29"/>
        <v>50437</v>
      </c>
      <c r="B268" s="5">
        <v>266</v>
      </c>
      <c r="C268" s="5">
        <f t="shared" si="24"/>
        <v>266</v>
      </c>
      <c r="D268" s="8">
        <f t="shared" si="25"/>
        <v>56014.400000000001</v>
      </c>
      <c r="E268" s="9">
        <f t="shared" si="26"/>
        <v>179.20762435319193</v>
      </c>
      <c r="F268" s="9">
        <f t="shared" si="27"/>
        <v>34.905236359244505</v>
      </c>
      <c r="G268" s="9">
        <f t="shared" si="28"/>
        <v>214.11286071243643</v>
      </c>
      <c r="H268" s="10">
        <f>D268-SUM($E$3:E268)</f>
        <v>18436.918433910541</v>
      </c>
      <c r="I268" s="5">
        <v>23</v>
      </c>
    </row>
    <row r="269" spans="1:9">
      <c r="A269" s="13">
        <f t="shared" si="29"/>
        <v>50465</v>
      </c>
      <c r="B269" s="5">
        <v>267</v>
      </c>
      <c r="C269" s="5">
        <f t="shared" si="24"/>
        <v>267</v>
      </c>
      <c r="D269" s="8">
        <f t="shared" si="25"/>
        <v>56014.400000000001</v>
      </c>
      <c r="E269" s="9">
        <f t="shared" si="26"/>
        <v>179.54363864885417</v>
      </c>
      <c r="F269" s="9">
        <f t="shared" si="27"/>
        <v>34.569222063582266</v>
      </c>
      <c r="G269" s="9">
        <f t="shared" si="28"/>
        <v>214.11286071243643</v>
      </c>
      <c r="H269" s="10">
        <f>D269-SUM($E$3:E269)</f>
        <v>18257.37479526169</v>
      </c>
      <c r="I269" s="5">
        <v>23</v>
      </c>
    </row>
    <row r="270" spans="1:9">
      <c r="A270" s="13">
        <f t="shared" si="29"/>
        <v>50496</v>
      </c>
      <c r="B270" s="5">
        <v>268</v>
      </c>
      <c r="C270" s="5">
        <f t="shared" si="24"/>
        <v>268</v>
      </c>
      <c r="D270" s="8">
        <f t="shared" si="25"/>
        <v>56014.400000000001</v>
      </c>
      <c r="E270" s="9">
        <f t="shared" si="26"/>
        <v>179.88028297132075</v>
      </c>
      <c r="F270" s="9">
        <f t="shared" si="27"/>
        <v>34.232577741115669</v>
      </c>
      <c r="G270" s="9">
        <f t="shared" si="28"/>
        <v>214.11286071243643</v>
      </c>
      <c r="H270" s="10">
        <f>D270-SUM($E$3:E270)</f>
        <v>18077.494512290366</v>
      </c>
      <c r="I270" s="5">
        <v>23</v>
      </c>
    </row>
    <row r="271" spans="1:9">
      <c r="A271" s="13">
        <f t="shared" si="29"/>
        <v>50526</v>
      </c>
      <c r="B271" s="5">
        <v>269</v>
      </c>
      <c r="C271" s="5">
        <f t="shared" si="24"/>
        <v>269</v>
      </c>
      <c r="D271" s="8">
        <f t="shared" si="25"/>
        <v>56014.400000000001</v>
      </c>
      <c r="E271" s="9">
        <f t="shared" si="26"/>
        <v>180.217558501892</v>
      </c>
      <c r="F271" s="9">
        <f t="shared" si="27"/>
        <v>33.895302210544443</v>
      </c>
      <c r="G271" s="9">
        <f t="shared" si="28"/>
        <v>214.11286071243643</v>
      </c>
      <c r="H271" s="10">
        <f>D271-SUM($E$3:E271)</f>
        <v>17897.276953788474</v>
      </c>
      <c r="I271" s="5">
        <v>23</v>
      </c>
    </row>
    <row r="272" spans="1:9">
      <c r="A272" s="13">
        <f t="shared" si="29"/>
        <v>50557</v>
      </c>
      <c r="B272" s="5">
        <v>270</v>
      </c>
      <c r="C272" s="5">
        <f t="shared" si="24"/>
        <v>270</v>
      </c>
      <c r="D272" s="8">
        <f t="shared" si="25"/>
        <v>56014.400000000001</v>
      </c>
      <c r="E272" s="9">
        <f t="shared" si="26"/>
        <v>180.55546642408302</v>
      </c>
      <c r="F272" s="9">
        <f t="shared" si="27"/>
        <v>33.557394288353393</v>
      </c>
      <c r="G272" s="9">
        <f t="shared" si="28"/>
        <v>214.11286071243643</v>
      </c>
      <c r="H272" s="10">
        <f>D272-SUM($E$3:E272)</f>
        <v>17716.72148736439</v>
      </c>
      <c r="I272" s="5">
        <v>23</v>
      </c>
    </row>
    <row r="273" spans="1:9">
      <c r="A273" s="13">
        <f t="shared" si="29"/>
        <v>50587</v>
      </c>
      <c r="B273" s="5">
        <v>271</v>
      </c>
      <c r="C273" s="5">
        <f t="shared" si="24"/>
        <v>271</v>
      </c>
      <c r="D273" s="8">
        <f t="shared" si="25"/>
        <v>56014.400000000001</v>
      </c>
      <c r="E273" s="9">
        <f t="shared" si="26"/>
        <v>180.89400792362818</v>
      </c>
      <c r="F273" s="9">
        <f t="shared" si="27"/>
        <v>33.218852788808235</v>
      </c>
      <c r="G273" s="9">
        <f t="shared" si="28"/>
        <v>214.11286071243643</v>
      </c>
      <c r="H273" s="10">
        <f>D273-SUM($E$3:E273)</f>
        <v>17535.827479440763</v>
      </c>
      <c r="I273" s="5">
        <v>23</v>
      </c>
    </row>
    <row r="274" spans="1:9">
      <c r="A274" s="13">
        <f t="shared" si="29"/>
        <v>50618</v>
      </c>
      <c r="B274" s="5">
        <v>272</v>
      </c>
      <c r="C274" s="5">
        <f t="shared" si="24"/>
        <v>272</v>
      </c>
      <c r="D274" s="8">
        <f t="shared" si="25"/>
        <v>56014.400000000001</v>
      </c>
      <c r="E274" s="9">
        <f t="shared" si="26"/>
        <v>181.23318418848498</v>
      </c>
      <c r="F274" s="9">
        <f t="shared" si="27"/>
        <v>32.879676523951431</v>
      </c>
      <c r="G274" s="9">
        <f t="shared" si="28"/>
        <v>214.11286071243643</v>
      </c>
      <c r="H274" s="10">
        <f>D274-SUM($E$3:E274)</f>
        <v>17354.594295252275</v>
      </c>
      <c r="I274" s="5">
        <v>23</v>
      </c>
    </row>
    <row r="275" spans="1:9">
      <c r="A275" s="13">
        <f t="shared" si="29"/>
        <v>50649</v>
      </c>
      <c r="B275" s="5">
        <v>273</v>
      </c>
      <c r="C275" s="5">
        <f t="shared" si="24"/>
        <v>273</v>
      </c>
      <c r="D275" s="8">
        <f t="shared" si="25"/>
        <v>56014.400000000001</v>
      </c>
      <c r="E275" s="9">
        <f t="shared" si="26"/>
        <v>181.57299640883841</v>
      </c>
      <c r="F275" s="9">
        <f t="shared" si="27"/>
        <v>32.53986430359803</v>
      </c>
      <c r="G275" s="9">
        <f t="shared" si="28"/>
        <v>214.11286071243643</v>
      </c>
      <c r="H275" s="10">
        <f>D275-SUM($E$3:E275)</f>
        <v>17173.021298843436</v>
      </c>
      <c r="I275" s="5">
        <v>23</v>
      </c>
    </row>
    <row r="276" spans="1:9">
      <c r="A276" s="13">
        <f t="shared" si="29"/>
        <v>50679</v>
      </c>
      <c r="B276" s="5">
        <v>274</v>
      </c>
      <c r="C276" s="5">
        <f t="shared" si="24"/>
        <v>274</v>
      </c>
      <c r="D276" s="8">
        <f t="shared" si="25"/>
        <v>56014.400000000001</v>
      </c>
      <c r="E276" s="9">
        <f t="shared" si="26"/>
        <v>181.91344577710498</v>
      </c>
      <c r="F276" s="9">
        <f t="shared" si="27"/>
        <v>32.199414935331454</v>
      </c>
      <c r="G276" s="9">
        <f t="shared" si="28"/>
        <v>214.11286071243643</v>
      </c>
      <c r="H276" s="10">
        <f>D276-SUM($E$3:E276)</f>
        <v>16991.107853066329</v>
      </c>
      <c r="I276" s="5">
        <v>23</v>
      </c>
    </row>
    <row r="277" spans="1:9">
      <c r="A277" s="13">
        <f t="shared" si="29"/>
        <v>50710</v>
      </c>
      <c r="B277" s="5">
        <v>275</v>
      </c>
      <c r="C277" s="5">
        <f t="shared" si="24"/>
        <v>275</v>
      </c>
      <c r="D277" s="8">
        <f t="shared" si="25"/>
        <v>56014.400000000001</v>
      </c>
      <c r="E277" s="9">
        <f t="shared" si="26"/>
        <v>182.25453348793704</v>
      </c>
      <c r="F277" s="9">
        <f t="shared" si="27"/>
        <v>31.85832722449938</v>
      </c>
      <c r="G277" s="9">
        <f t="shared" si="28"/>
        <v>214.11286071243643</v>
      </c>
      <c r="H277" s="10">
        <f>D277-SUM($E$3:E277)</f>
        <v>16808.853319578389</v>
      </c>
      <c r="I277" s="5">
        <v>23</v>
      </c>
    </row>
    <row r="278" spans="1:9">
      <c r="A278" s="13">
        <f t="shared" si="29"/>
        <v>50740</v>
      </c>
      <c r="B278" s="5">
        <v>276</v>
      </c>
      <c r="C278" s="5">
        <f t="shared" si="24"/>
        <v>276</v>
      </c>
      <c r="D278" s="8">
        <f t="shared" si="25"/>
        <v>56014.400000000001</v>
      </c>
      <c r="E278" s="9">
        <f t="shared" si="26"/>
        <v>182.59626073822693</v>
      </c>
      <c r="F278" s="9">
        <f t="shared" si="27"/>
        <v>31.516599974209498</v>
      </c>
      <c r="G278" s="9">
        <f t="shared" si="28"/>
        <v>214.11286071243643</v>
      </c>
      <c r="H278" s="10">
        <f>D278-SUM($E$3:E278)</f>
        <v>16626.257058840165</v>
      </c>
      <c r="I278" s="5">
        <v>23</v>
      </c>
    </row>
    <row r="279" spans="1:9">
      <c r="A279" s="13">
        <f t="shared" si="29"/>
        <v>50771</v>
      </c>
      <c r="B279" s="5">
        <v>277</v>
      </c>
      <c r="C279" s="5">
        <f t="shared" si="24"/>
        <v>277</v>
      </c>
      <c r="D279" s="8">
        <f t="shared" si="25"/>
        <v>56014.400000000001</v>
      </c>
      <c r="E279" s="9">
        <f t="shared" si="26"/>
        <v>182.93862872711111</v>
      </c>
      <c r="F279" s="9">
        <f t="shared" si="27"/>
        <v>31.174231985325321</v>
      </c>
      <c r="G279" s="9">
        <f t="shared" si="28"/>
        <v>214.11286071243643</v>
      </c>
      <c r="H279" s="10">
        <f>D279-SUM($E$3:E279)</f>
        <v>16443.318430113053</v>
      </c>
      <c r="I279" s="5">
        <v>24</v>
      </c>
    </row>
    <row r="280" spans="1:9">
      <c r="A280" s="13">
        <f t="shared" si="29"/>
        <v>50802</v>
      </c>
      <c r="B280" s="5">
        <v>278</v>
      </c>
      <c r="C280" s="5">
        <f t="shared" si="24"/>
        <v>278</v>
      </c>
      <c r="D280" s="8">
        <f t="shared" si="25"/>
        <v>56014.400000000001</v>
      </c>
      <c r="E280" s="9">
        <f t="shared" si="26"/>
        <v>183.28163865597443</v>
      </c>
      <c r="F280" s="9">
        <f t="shared" si="27"/>
        <v>30.831222056461986</v>
      </c>
      <c r="G280" s="9">
        <f t="shared" si="28"/>
        <v>214.11286071243643</v>
      </c>
      <c r="H280" s="10">
        <f>D280-SUM($E$3:E280)</f>
        <v>16260.036791457082</v>
      </c>
      <c r="I280" s="5">
        <v>24</v>
      </c>
    </row>
    <row r="281" spans="1:9">
      <c r="A281" s="13">
        <f t="shared" si="29"/>
        <v>50830</v>
      </c>
      <c r="B281" s="5">
        <v>279</v>
      </c>
      <c r="C281" s="5">
        <f t="shared" si="24"/>
        <v>279</v>
      </c>
      <c r="D281" s="8">
        <f t="shared" si="25"/>
        <v>56014.400000000001</v>
      </c>
      <c r="E281" s="9">
        <f t="shared" si="26"/>
        <v>183.62529172845436</v>
      </c>
      <c r="F281" s="9">
        <f t="shared" si="27"/>
        <v>30.487568983982033</v>
      </c>
      <c r="G281" s="9">
        <f t="shared" si="28"/>
        <v>214.1128607124364</v>
      </c>
      <c r="H281" s="10">
        <f>D281-SUM($E$3:E281)</f>
        <v>16076.411499728631</v>
      </c>
      <c r="I281" s="5">
        <v>24</v>
      </c>
    </row>
    <row r="282" spans="1:9">
      <c r="A282" s="13">
        <f t="shared" si="29"/>
        <v>50861</v>
      </c>
      <c r="B282" s="5">
        <v>280</v>
      </c>
      <c r="C282" s="5">
        <f t="shared" si="24"/>
        <v>280</v>
      </c>
      <c r="D282" s="8">
        <f t="shared" si="25"/>
        <v>56014.400000000001</v>
      </c>
      <c r="E282" s="9">
        <f t="shared" si="26"/>
        <v>183.96958915044524</v>
      </c>
      <c r="F282" s="9">
        <f t="shared" si="27"/>
        <v>30.143271561991192</v>
      </c>
      <c r="G282" s="9">
        <f t="shared" si="28"/>
        <v>214.11286071243643</v>
      </c>
      <c r="H282" s="10">
        <f>D282-SUM($E$3:E282)</f>
        <v>15892.441910578185</v>
      </c>
      <c r="I282" s="5">
        <v>24</v>
      </c>
    </row>
    <row r="283" spans="1:9">
      <c r="A283" s="13">
        <f t="shared" si="29"/>
        <v>50891</v>
      </c>
      <c r="B283" s="5">
        <v>281</v>
      </c>
      <c r="C283" s="5">
        <f t="shared" si="24"/>
        <v>281</v>
      </c>
      <c r="D283" s="8">
        <f t="shared" si="25"/>
        <v>56014.400000000001</v>
      </c>
      <c r="E283" s="9">
        <f t="shared" si="26"/>
        <v>184.31453213010232</v>
      </c>
      <c r="F283" s="9">
        <f t="shared" si="27"/>
        <v>29.798328582334104</v>
      </c>
      <c r="G283" s="9">
        <f t="shared" si="28"/>
        <v>214.11286071243643</v>
      </c>
      <c r="H283" s="10">
        <f>D283-SUM($E$3:E283)</f>
        <v>15708.12737844808</v>
      </c>
      <c r="I283" s="5">
        <v>24</v>
      </c>
    </row>
    <row r="284" spans="1:9">
      <c r="A284" s="13">
        <f t="shared" si="29"/>
        <v>50922</v>
      </c>
      <c r="B284" s="5">
        <v>282</v>
      </c>
      <c r="C284" s="5">
        <f t="shared" si="24"/>
        <v>282</v>
      </c>
      <c r="D284" s="8">
        <f t="shared" si="25"/>
        <v>56014.400000000001</v>
      </c>
      <c r="E284" s="9">
        <f t="shared" si="26"/>
        <v>184.66012187784625</v>
      </c>
      <c r="F284" s="9">
        <f t="shared" si="27"/>
        <v>29.452738834590161</v>
      </c>
      <c r="G284" s="9">
        <f t="shared" si="28"/>
        <v>214.1128607124364</v>
      </c>
      <c r="H284" s="10">
        <f>D284-SUM($E$3:E284)</f>
        <v>15523.467256570235</v>
      </c>
      <c r="I284" s="5">
        <v>24</v>
      </c>
    </row>
    <row r="285" spans="1:9">
      <c r="A285" s="13">
        <f t="shared" si="29"/>
        <v>50952</v>
      </c>
      <c r="B285" s="5">
        <v>283</v>
      </c>
      <c r="C285" s="5">
        <f t="shared" si="24"/>
        <v>283</v>
      </c>
      <c r="D285" s="8">
        <f t="shared" si="25"/>
        <v>56014.400000000001</v>
      </c>
      <c r="E285" s="9">
        <f t="shared" si="26"/>
        <v>185.00635960636723</v>
      </c>
      <c r="F285" s="9">
        <f t="shared" si="27"/>
        <v>29.106501106069192</v>
      </c>
      <c r="G285" s="9">
        <f t="shared" si="28"/>
        <v>214.11286071243643</v>
      </c>
      <c r="H285" s="10">
        <f>D285-SUM($E$3:E285)</f>
        <v>15338.460896963865</v>
      </c>
      <c r="I285" s="5">
        <v>24</v>
      </c>
    </row>
    <row r="286" spans="1:9">
      <c r="A286" s="13">
        <f t="shared" si="29"/>
        <v>50983</v>
      </c>
      <c r="B286" s="5">
        <v>284</v>
      </c>
      <c r="C286" s="5">
        <f t="shared" si="24"/>
        <v>284</v>
      </c>
      <c r="D286" s="8">
        <f t="shared" si="25"/>
        <v>56014.400000000001</v>
      </c>
      <c r="E286" s="9">
        <f t="shared" si="26"/>
        <v>185.35324653062915</v>
      </c>
      <c r="F286" s="9">
        <f t="shared" si="27"/>
        <v>28.759614181807255</v>
      </c>
      <c r="G286" s="9">
        <f t="shared" si="28"/>
        <v>214.1128607124364</v>
      </c>
      <c r="H286" s="10">
        <f>D286-SUM($E$3:E286)</f>
        <v>15153.107650433238</v>
      </c>
      <c r="I286" s="5">
        <v>24</v>
      </c>
    </row>
    <row r="287" spans="1:9">
      <c r="A287" s="13">
        <f t="shared" si="29"/>
        <v>51014</v>
      </c>
      <c r="B287" s="5">
        <v>285</v>
      </c>
      <c r="C287" s="5">
        <f t="shared" si="24"/>
        <v>285</v>
      </c>
      <c r="D287" s="8">
        <f t="shared" si="25"/>
        <v>56014.400000000001</v>
      </c>
      <c r="E287" s="9">
        <f t="shared" si="26"/>
        <v>185.70078386787409</v>
      </c>
      <c r="F287" s="9">
        <f t="shared" si="27"/>
        <v>28.412076844562332</v>
      </c>
      <c r="G287" s="9">
        <f t="shared" si="28"/>
        <v>214.11286071243643</v>
      </c>
      <c r="H287" s="10">
        <f>D287-SUM($E$3:E287)</f>
        <v>14967.406866565361</v>
      </c>
      <c r="I287" s="5">
        <v>24</v>
      </c>
    </row>
    <row r="288" spans="1:9">
      <c r="A288" s="13">
        <f t="shared" si="29"/>
        <v>51044</v>
      </c>
      <c r="B288" s="5">
        <v>286</v>
      </c>
      <c r="C288" s="5">
        <f t="shared" si="24"/>
        <v>286</v>
      </c>
      <c r="D288" s="8">
        <f t="shared" si="25"/>
        <v>56014.400000000001</v>
      </c>
      <c r="E288" s="9">
        <f t="shared" si="26"/>
        <v>186.04897283762634</v>
      </c>
      <c r="F288" s="9">
        <f t="shared" si="27"/>
        <v>28.063887874810067</v>
      </c>
      <c r="G288" s="9">
        <f t="shared" si="28"/>
        <v>214.1128607124364</v>
      </c>
      <c r="H288" s="10">
        <f>D288-SUM($E$3:E288)</f>
        <v>14781.357893727734</v>
      </c>
      <c r="I288" s="5">
        <v>24</v>
      </c>
    </row>
    <row r="289" spans="1:9">
      <c r="A289" s="13">
        <f t="shared" si="29"/>
        <v>51075</v>
      </c>
      <c r="B289" s="5">
        <v>287</v>
      </c>
      <c r="C289" s="5">
        <f t="shared" si="24"/>
        <v>287</v>
      </c>
      <c r="D289" s="8">
        <f t="shared" si="25"/>
        <v>56014.400000000001</v>
      </c>
      <c r="E289" s="9">
        <f t="shared" si="26"/>
        <v>186.39781466169691</v>
      </c>
      <c r="F289" s="9">
        <f t="shared" si="27"/>
        <v>27.715046050739517</v>
      </c>
      <c r="G289" s="9">
        <f t="shared" si="28"/>
        <v>214.11286071243643</v>
      </c>
      <c r="H289" s="10">
        <f>D289-SUM($E$3:E289)</f>
        <v>14594.960079066041</v>
      </c>
      <c r="I289" s="5">
        <v>24</v>
      </c>
    </row>
    <row r="290" spans="1:9">
      <c r="A290" s="13">
        <f t="shared" si="29"/>
        <v>51105</v>
      </c>
      <c r="B290" s="5">
        <v>288</v>
      </c>
      <c r="C290" s="5">
        <f t="shared" si="24"/>
        <v>288</v>
      </c>
      <c r="D290" s="8">
        <f t="shared" si="25"/>
        <v>56014.400000000001</v>
      </c>
      <c r="E290" s="9">
        <f t="shared" si="26"/>
        <v>186.74731056418761</v>
      </c>
      <c r="F290" s="9">
        <f t="shared" si="27"/>
        <v>27.365550148248836</v>
      </c>
      <c r="G290" s="9">
        <f t="shared" si="28"/>
        <v>214.11286071243646</v>
      </c>
      <c r="H290" s="10">
        <f>D290-SUM($E$3:E290)</f>
        <v>14408.212768501849</v>
      </c>
      <c r="I290" s="5">
        <v>24</v>
      </c>
    </row>
    <row r="291" spans="1:9">
      <c r="A291" s="13">
        <f t="shared" si="29"/>
        <v>51136</v>
      </c>
      <c r="B291" s="5">
        <v>289</v>
      </c>
      <c r="C291" s="5">
        <f t="shared" si="24"/>
        <v>289</v>
      </c>
      <c r="D291" s="8">
        <f t="shared" si="25"/>
        <v>56014.400000000001</v>
      </c>
      <c r="E291" s="9">
        <f t="shared" si="26"/>
        <v>187.09746177149546</v>
      </c>
      <c r="F291" s="9">
        <f t="shared" si="27"/>
        <v>27.015398940940987</v>
      </c>
      <c r="G291" s="9">
        <f t="shared" si="28"/>
        <v>214.11286071243646</v>
      </c>
      <c r="H291" s="10">
        <f>D291-SUM($E$3:E291)</f>
        <v>14221.115306730353</v>
      </c>
      <c r="I291" s="5">
        <v>25</v>
      </c>
    </row>
    <row r="292" spans="1:9">
      <c r="A292" s="13">
        <f t="shared" si="29"/>
        <v>51167</v>
      </c>
      <c r="B292" s="5">
        <v>290</v>
      </c>
      <c r="C292" s="5">
        <f t="shared" si="24"/>
        <v>290</v>
      </c>
      <c r="D292" s="8">
        <f t="shared" si="25"/>
        <v>56014.400000000001</v>
      </c>
      <c r="E292" s="9">
        <f t="shared" si="26"/>
        <v>187.44826951231698</v>
      </c>
      <c r="F292" s="9">
        <f t="shared" si="27"/>
        <v>26.664591200119428</v>
      </c>
      <c r="G292" s="9">
        <f t="shared" si="28"/>
        <v>214.1128607124364</v>
      </c>
      <c r="H292" s="10">
        <f>D292-SUM($E$3:E292)</f>
        <v>14033.667037218038</v>
      </c>
      <c r="I292" s="5">
        <v>25</v>
      </c>
    </row>
    <row r="293" spans="1:9">
      <c r="A293" s="13">
        <f t="shared" si="29"/>
        <v>51196</v>
      </c>
      <c r="B293" s="5">
        <v>291</v>
      </c>
      <c r="C293" s="5">
        <f t="shared" si="24"/>
        <v>291</v>
      </c>
      <c r="D293" s="8">
        <f t="shared" si="25"/>
        <v>56014.400000000001</v>
      </c>
      <c r="E293" s="9">
        <f t="shared" si="26"/>
        <v>187.79973501765258</v>
      </c>
      <c r="F293" s="9">
        <f t="shared" si="27"/>
        <v>26.313125694783839</v>
      </c>
      <c r="G293" s="9">
        <f t="shared" si="28"/>
        <v>214.11286071243643</v>
      </c>
      <c r="H293" s="10">
        <f>D293-SUM($E$3:E293)</f>
        <v>13845.867302200386</v>
      </c>
      <c r="I293" s="5">
        <v>25</v>
      </c>
    </row>
    <row r="294" spans="1:9">
      <c r="A294" s="13">
        <f t="shared" si="29"/>
        <v>51227</v>
      </c>
      <c r="B294" s="5">
        <v>292</v>
      </c>
      <c r="C294" s="5">
        <f t="shared" si="24"/>
        <v>292</v>
      </c>
      <c r="D294" s="8">
        <f t="shared" si="25"/>
        <v>56014.400000000001</v>
      </c>
      <c r="E294" s="9">
        <f t="shared" si="26"/>
        <v>188.15185952081069</v>
      </c>
      <c r="F294" s="9">
        <f t="shared" si="27"/>
        <v>25.961001191625733</v>
      </c>
      <c r="G294" s="9">
        <f t="shared" si="28"/>
        <v>214.11286071243643</v>
      </c>
      <c r="H294" s="10">
        <f>D294-SUM($E$3:E294)</f>
        <v>13657.715442679575</v>
      </c>
      <c r="I294" s="5">
        <v>25</v>
      </c>
    </row>
    <row r="295" spans="1:9">
      <c r="A295" s="13">
        <f t="shared" si="29"/>
        <v>51257</v>
      </c>
      <c r="B295" s="5">
        <v>293</v>
      </c>
      <c r="C295" s="5">
        <f t="shared" si="24"/>
        <v>293</v>
      </c>
      <c r="D295" s="8">
        <f t="shared" si="25"/>
        <v>56014.400000000001</v>
      </c>
      <c r="E295" s="9">
        <f t="shared" si="26"/>
        <v>188.50464425741222</v>
      </c>
      <c r="F295" s="9">
        <f t="shared" si="27"/>
        <v>25.608216455024216</v>
      </c>
      <c r="G295" s="9">
        <f t="shared" si="28"/>
        <v>214.11286071243643</v>
      </c>
      <c r="H295" s="10">
        <f>D295-SUM($E$3:E295)</f>
        <v>13469.210798422166</v>
      </c>
      <c r="I295" s="5">
        <v>25</v>
      </c>
    </row>
    <row r="296" spans="1:9">
      <c r="A296" s="13">
        <f t="shared" si="29"/>
        <v>51288</v>
      </c>
      <c r="B296" s="5">
        <v>294</v>
      </c>
      <c r="C296" s="5">
        <f t="shared" si="24"/>
        <v>294</v>
      </c>
      <c r="D296" s="8">
        <f t="shared" si="25"/>
        <v>56014.400000000001</v>
      </c>
      <c r="E296" s="9">
        <f t="shared" si="26"/>
        <v>188.85809046539487</v>
      </c>
      <c r="F296" s="9">
        <f t="shared" si="27"/>
        <v>25.254770247041563</v>
      </c>
      <c r="G296" s="9">
        <f t="shared" si="28"/>
        <v>214.11286071243643</v>
      </c>
      <c r="H296" s="10">
        <f>D296-SUM($E$3:E296)</f>
        <v>13280.352707956772</v>
      </c>
      <c r="I296" s="5">
        <v>25</v>
      </c>
    </row>
    <row r="297" spans="1:9">
      <c r="A297" s="13">
        <f t="shared" si="29"/>
        <v>51318</v>
      </c>
      <c r="B297" s="5">
        <v>295</v>
      </c>
      <c r="C297" s="5">
        <f t="shared" si="24"/>
        <v>295</v>
      </c>
      <c r="D297" s="8">
        <f t="shared" si="25"/>
        <v>56014.400000000001</v>
      </c>
      <c r="E297" s="9">
        <f t="shared" si="26"/>
        <v>189.21219938501744</v>
      </c>
      <c r="F297" s="9">
        <f t="shared" si="27"/>
        <v>24.900661327418952</v>
      </c>
      <c r="G297" s="9">
        <f t="shared" si="28"/>
        <v>214.1128607124364</v>
      </c>
      <c r="H297" s="10">
        <f>D297-SUM($E$3:E297)</f>
        <v>13091.140508571756</v>
      </c>
      <c r="I297" s="5">
        <v>25</v>
      </c>
    </row>
    <row r="298" spans="1:9">
      <c r="A298" s="13">
        <f t="shared" si="29"/>
        <v>51349</v>
      </c>
      <c r="B298" s="5">
        <v>296</v>
      </c>
      <c r="C298" s="5">
        <f t="shared" si="24"/>
        <v>296</v>
      </c>
      <c r="D298" s="8">
        <f t="shared" si="25"/>
        <v>56014.400000000001</v>
      </c>
      <c r="E298" s="9">
        <f t="shared" si="26"/>
        <v>189.56697225886438</v>
      </c>
      <c r="F298" s="9">
        <f t="shared" si="27"/>
        <v>24.545888453572044</v>
      </c>
      <c r="G298" s="9">
        <f t="shared" si="28"/>
        <v>214.11286071243643</v>
      </c>
      <c r="H298" s="10">
        <f>D298-SUM($E$3:E298)</f>
        <v>12901.573536312892</v>
      </c>
      <c r="I298" s="5">
        <v>25</v>
      </c>
    </row>
    <row r="299" spans="1:9">
      <c r="A299" s="13">
        <f t="shared" si="29"/>
        <v>51380</v>
      </c>
      <c r="B299" s="5">
        <v>297</v>
      </c>
      <c r="C299" s="5">
        <f t="shared" si="24"/>
        <v>297</v>
      </c>
      <c r="D299" s="8">
        <f t="shared" si="25"/>
        <v>56014.400000000001</v>
      </c>
      <c r="E299" s="9">
        <f t="shared" si="26"/>
        <v>189.92241033184976</v>
      </c>
      <c r="F299" s="9">
        <f t="shared" si="27"/>
        <v>24.190450380586675</v>
      </c>
      <c r="G299" s="9">
        <f t="shared" si="28"/>
        <v>214.11286071243643</v>
      </c>
      <c r="H299" s="10">
        <f>D299-SUM($E$3:E299)</f>
        <v>12711.651125981043</v>
      </c>
      <c r="I299" s="5">
        <v>25</v>
      </c>
    </row>
    <row r="300" spans="1:9">
      <c r="A300" s="13">
        <f t="shared" si="29"/>
        <v>51410</v>
      </c>
      <c r="B300" s="5">
        <v>298</v>
      </c>
      <c r="C300" s="5">
        <f t="shared" si="24"/>
        <v>298</v>
      </c>
      <c r="D300" s="8">
        <f t="shared" si="25"/>
        <v>56014.400000000001</v>
      </c>
      <c r="E300" s="9">
        <f t="shared" si="26"/>
        <v>190.27851485122198</v>
      </c>
      <c r="F300" s="9">
        <f t="shared" si="27"/>
        <v>23.834345861214459</v>
      </c>
      <c r="G300" s="9">
        <f t="shared" si="28"/>
        <v>214.11286071243643</v>
      </c>
      <c r="H300" s="10">
        <f>D300-SUM($E$3:E300)</f>
        <v>12521.372611129824</v>
      </c>
      <c r="I300" s="5">
        <v>25</v>
      </c>
    </row>
    <row r="301" spans="1:9">
      <c r="A301" s="13">
        <f t="shared" si="29"/>
        <v>51441</v>
      </c>
      <c r="B301" s="5">
        <v>299</v>
      </c>
      <c r="C301" s="5">
        <f t="shared" si="24"/>
        <v>299</v>
      </c>
      <c r="D301" s="8">
        <f t="shared" si="25"/>
        <v>56014.400000000001</v>
      </c>
      <c r="E301" s="9">
        <f t="shared" si="26"/>
        <v>190.635287066568</v>
      </c>
      <c r="F301" s="9">
        <f t="shared" si="27"/>
        <v>23.477573645868414</v>
      </c>
      <c r="G301" s="9">
        <f t="shared" si="28"/>
        <v>214.1128607124364</v>
      </c>
      <c r="H301" s="10">
        <f>D301-SUM($E$3:E301)</f>
        <v>12330.737324063259</v>
      </c>
      <c r="I301" s="5">
        <v>25</v>
      </c>
    </row>
    <row r="302" spans="1:9">
      <c r="A302" s="13">
        <f t="shared" si="29"/>
        <v>51471</v>
      </c>
      <c r="B302" s="5">
        <v>300</v>
      </c>
      <c r="C302" s="5">
        <f t="shared" si="24"/>
        <v>300</v>
      </c>
      <c r="D302" s="8">
        <f t="shared" si="25"/>
        <v>56014.400000000001</v>
      </c>
      <c r="E302" s="9">
        <f t="shared" si="26"/>
        <v>190.99272822981783</v>
      </c>
      <c r="F302" s="9">
        <f t="shared" si="27"/>
        <v>23.120132482618601</v>
      </c>
      <c r="G302" s="9">
        <f t="shared" si="28"/>
        <v>214.11286071243643</v>
      </c>
      <c r="H302" s="10">
        <f>D302-SUM($E$3:E302)</f>
        <v>12139.744595833443</v>
      </c>
      <c r="I302" s="5">
        <v>25</v>
      </c>
    </row>
    <row r="303" spans="1:9">
      <c r="A303" s="13">
        <f t="shared" si="29"/>
        <v>51502</v>
      </c>
      <c r="B303" s="5">
        <v>301</v>
      </c>
      <c r="C303" s="5">
        <f t="shared" si="24"/>
        <v>301</v>
      </c>
      <c r="D303" s="8">
        <f t="shared" si="25"/>
        <v>56014.400000000001</v>
      </c>
      <c r="E303" s="9">
        <f t="shared" si="26"/>
        <v>191.35083959524874</v>
      </c>
      <c r="F303" s="9">
        <f t="shared" si="27"/>
        <v>22.762021117187693</v>
      </c>
      <c r="G303" s="9">
        <f t="shared" si="28"/>
        <v>214.11286071243643</v>
      </c>
      <c r="H303" s="10">
        <f>D303-SUM($E$3:E303)</f>
        <v>11948.393756238191</v>
      </c>
      <c r="I303" s="5">
        <v>26</v>
      </c>
    </row>
    <row r="304" spans="1:9">
      <c r="A304" s="13">
        <f t="shared" si="29"/>
        <v>51533</v>
      </c>
      <c r="B304" s="5">
        <v>302</v>
      </c>
      <c r="C304" s="5">
        <f t="shared" si="24"/>
        <v>302</v>
      </c>
      <c r="D304" s="8">
        <f t="shared" si="25"/>
        <v>56014.400000000001</v>
      </c>
      <c r="E304" s="9">
        <f t="shared" si="26"/>
        <v>191.70962241948982</v>
      </c>
      <c r="F304" s="9">
        <f t="shared" si="27"/>
        <v>22.403238292946604</v>
      </c>
      <c r="G304" s="9">
        <f t="shared" si="28"/>
        <v>214.11286071243643</v>
      </c>
      <c r="H304" s="10">
        <f>D304-SUM($E$3:E304)</f>
        <v>11756.684133818701</v>
      </c>
      <c r="I304" s="5">
        <v>26</v>
      </c>
    </row>
    <row r="305" spans="1:9">
      <c r="A305" s="13">
        <f t="shared" si="29"/>
        <v>51561</v>
      </c>
      <c r="B305" s="5">
        <v>303</v>
      </c>
      <c r="C305" s="5">
        <f t="shared" si="24"/>
        <v>303</v>
      </c>
      <c r="D305" s="8">
        <f t="shared" si="25"/>
        <v>56014.400000000001</v>
      </c>
      <c r="E305" s="9">
        <f t="shared" si="26"/>
        <v>192.06907796152635</v>
      </c>
      <c r="F305" s="9">
        <f t="shared" si="27"/>
        <v>22.043782750910058</v>
      </c>
      <c r="G305" s="9">
        <f t="shared" si="28"/>
        <v>214.1128607124364</v>
      </c>
      <c r="H305" s="10">
        <f>D305-SUM($E$3:E305)</f>
        <v>11564.615055857175</v>
      </c>
      <c r="I305" s="5">
        <v>26</v>
      </c>
    </row>
    <row r="306" spans="1:9">
      <c r="A306" s="13">
        <f t="shared" si="29"/>
        <v>51592</v>
      </c>
      <c r="B306" s="5">
        <v>304</v>
      </c>
      <c r="C306" s="5">
        <f t="shared" si="24"/>
        <v>304</v>
      </c>
      <c r="D306" s="8">
        <f t="shared" si="25"/>
        <v>56014.400000000001</v>
      </c>
      <c r="E306" s="9">
        <f t="shared" si="26"/>
        <v>192.42920748270421</v>
      </c>
      <c r="F306" s="9">
        <f t="shared" si="27"/>
        <v>21.683653229732197</v>
      </c>
      <c r="G306" s="9">
        <f t="shared" si="28"/>
        <v>214.1128607124364</v>
      </c>
      <c r="H306" s="10">
        <f>D306-SUM($E$3:E306)</f>
        <v>11372.185848374473</v>
      </c>
      <c r="I306" s="5">
        <v>26</v>
      </c>
    </row>
    <row r="307" spans="1:9">
      <c r="A307" s="13">
        <f t="shared" si="29"/>
        <v>51622</v>
      </c>
      <c r="B307" s="5">
        <v>305</v>
      </c>
      <c r="C307" s="5">
        <f t="shared" si="24"/>
        <v>305</v>
      </c>
      <c r="D307" s="8">
        <f t="shared" si="25"/>
        <v>56014.400000000001</v>
      </c>
      <c r="E307" s="9">
        <f t="shared" si="26"/>
        <v>192.79001224673431</v>
      </c>
      <c r="F307" s="9">
        <f t="shared" si="27"/>
        <v>21.322848465702126</v>
      </c>
      <c r="G307" s="9">
        <f t="shared" si="28"/>
        <v>214.11286071243643</v>
      </c>
      <c r="H307" s="10">
        <f>D307-SUM($E$3:E307)</f>
        <v>11179.39583612774</v>
      </c>
      <c r="I307" s="5">
        <v>26</v>
      </c>
    </row>
    <row r="308" spans="1:9">
      <c r="A308" s="13">
        <f t="shared" si="29"/>
        <v>51653</v>
      </c>
      <c r="B308" s="5">
        <v>306</v>
      </c>
      <c r="C308" s="5">
        <f t="shared" si="24"/>
        <v>306</v>
      </c>
      <c r="D308" s="8">
        <f t="shared" si="25"/>
        <v>56014.400000000001</v>
      </c>
      <c r="E308" s="9">
        <f t="shared" si="26"/>
        <v>193.15149351969691</v>
      </c>
      <c r="F308" s="9">
        <f t="shared" si="27"/>
        <v>20.961367192739498</v>
      </c>
      <c r="G308" s="9">
        <f t="shared" si="28"/>
        <v>214.1128607124364</v>
      </c>
      <c r="H308" s="10">
        <f>D308-SUM($E$3:E308)</f>
        <v>10986.244342608043</v>
      </c>
      <c r="I308" s="5">
        <v>26</v>
      </c>
    </row>
    <row r="309" spans="1:9">
      <c r="A309" s="13">
        <f t="shared" si="29"/>
        <v>51683</v>
      </c>
      <c r="B309" s="5">
        <v>307</v>
      </c>
      <c r="C309" s="5">
        <f t="shared" si="24"/>
        <v>307</v>
      </c>
      <c r="D309" s="8">
        <f t="shared" si="25"/>
        <v>56014.400000000001</v>
      </c>
      <c r="E309" s="9">
        <f t="shared" si="26"/>
        <v>193.51365257004636</v>
      </c>
      <c r="F309" s="9">
        <f t="shared" si="27"/>
        <v>20.599208142390065</v>
      </c>
      <c r="G309" s="9">
        <f t="shared" si="28"/>
        <v>214.11286071243643</v>
      </c>
      <c r="H309" s="10">
        <f>D309-SUM($E$3:E309)</f>
        <v>10792.730690037999</v>
      </c>
      <c r="I309" s="5">
        <v>26</v>
      </c>
    </row>
    <row r="310" spans="1:9">
      <c r="A310" s="13">
        <f t="shared" si="29"/>
        <v>51714</v>
      </c>
      <c r="B310" s="5">
        <v>308</v>
      </c>
      <c r="C310" s="5">
        <f t="shared" si="24"/>
        <v>308</v>
      </c>
      <c r="D310" s="8">
        <f t="shared" si="25"/>
        <v>56014.400000000001</v>
      </c>
      <c r="E310" s="9">
        <f t="shared" si="26"/>
        <v>193.87649066861519</v>
      </c>
      <c r="F310" s="9">
        <f t="shared" si="27"/>
        <v>20.236370043821232</v>
      </c>
      <c r="G310" s="9">
        <f t="shared" si="28"/>
        <v>214.11286071243643</v>
      </c>
      <c r="H310" s="10">
        <f>D310-SUM($E$3:E310)</f>
        <v>10598.854199369387</v>
      </c>
      <c r="I310" s="5">
        <v>26</v>
      </c>
    </row>
    <row r="311" spans="1:9">
      <c r="A311" s="13">
        <f t="shared" si="29"/>
        <v>51745</v>
      </c>
      <c r="B311" s="5">
        <v>309</v>
      </c>
      <c r="C311" s="5">
        <f t="shared" si="24"/>
        <v>309</v>
      </c>
      <c r="D311" s="8">
        <f t="shared" si="25"/>
        <v>56014.400000000001</v>
      </c>
      <c r="E311" s="9">
        <f t="shared" si="26"/>
        <v>194.24000908861885</v>
      </c>
      <c r="F311" s="9">
        <f t="shared" si="27"/>
        <v>19.872851623817578</v>
      </c>
      <c r="G311" s="9">
        <f t="shared" si="28"/>
        <v>214.11286071243643</v>
      </c>
      <c r="H311" s="10">
        <f>D311-SUM($E$3:E311)</f>
        <v>10404.614190280765</v>
      </c>
      <c r="I311" s="5">
        <v>26</v>
      </c>
    </row>
    <row r="312" spans="1:9">
      <c r="A312" s="13">
        <f t="shared" si="29"/>
        <v>51775</v>
      </c>
      <c r="B312" s="5">
        <v>310</v>
      </c>
      <c r="C312" s="5">
        <f t="shared" si="24"/>
        <v>310</v>
      </c>
      <c r="D312" s="8">
        <f t="shared" si="25"/>
        <v>56014.400000000001</v>
      </c>
      <c r="E312" s="9">
        <f t="shared" si="26"/>
        <v>194.60420910566003</v>
      </c>
      <c r="F312" s="9">
        <f t="shared" si="27"/>
        <v>19.508651606776418</v>
      </c>
      <c r="G312" s="9">
        <f t="shared" si="28"/>
        <v>214.11286071243646</v>
      </c>
      <c r="H312" s="10">
        <f>D312-SUM($E$3:E312)</f>
        <v>10210.009981175106</v>
      </c>
      <c r="I312" s="5">
        <v>26</v>
      </c>
    </row>
    <row r="313" spans="1:9">
      <c r="A313" s="13">
        <f t="shared" si="29"/>
        <v>51806</v>
      </c>
      <c r="B313" s="5">
        <v>311</v>
      </c>
      <c r="C313" s="5">
        <f t="shared" si="24"/>
        <v>311</v>
      </c>
      <c r="D313" s="8">
        <f t="shared" si="25"/>
        <v>56014.400000000001</v>
      </c>
      <c r="E313" s="9">
        <f t="shared" si="26"/>
        <v>194.96909199773313</v>
      </c>
      <c r="F313" s="9">
        <f t="shared" si="27"/>
        <v>19.143768714703302</v>
      </c>
      <c r="G313" s="9">
        <f t="shared" si="28"/>
        <v>214.11286071243643</v>
      </c>
      <c r="H313" s="10">
        <f>D313-SUM($E$3:E313)</f>
        <v>10015.04088917737</v>
      </c>
      <c r="I313" s="5">
        <v>26</v>
      </c>
    </row>
    <row r="314" spans="1:9">
      <c r="A314" s="13">
        <f t="shared" si="29"/>
        <v>51836</v>
      </c>
      <c r="B314" s="5">
        <v>312</v>
      </c>
      <c r="C314" s="5">
        <f t="shared" si="24"/>
        <v>312</v>
      </c>
      <c r="D314" s="8">
        <f t="shared" si="25"/>
        <v>56014.400000000001</v>
      </c>
      <c r="E314" s="9">
        <f t="shared" si="26"/>
        <v>195.33465904522885</v>
      </c>
      <c r="F314" s="9">
        <f t="shared" si="27"/>
        <v>18.778201667207558</v>
      </c>
      <c r="G314" s="9">
        <f t="shared" si="28"/>
        <v>214.1128607124364</v>
      </c>
      <c r="H314" s="10">
        <f>D314-SUM($E$3:E314)</f>
        <v>9819.7062301321421</v>
      </c>
      <c r="I314" s="5">
        <v>26</v>
      </c>
    </row>
    <row r="315" spans="1:9">
      <c r="A315" s="13">
        <f t="shared" si="29"/>
        <v>51867</v>
      </c>
      <c r="B315" s="5">
        <v>313</v>
      </c>
      <c r="C315" s="5">
        <f t="shared" si="24"/>
        <v>313</v>
      </c>
      <c r="D315" s="8">
        <f t="shared" si="25"/>
        <v>56014.400000000001</v>
      </c>
      <c r="E315" s="9">
        <f t="shared" si="26"/>
        <v>195.7009115309387</v>
      </c>
      <c r="F315" s="9">
        <f t="shared" si="27"/>
        <v>18.41194918149775</v>
      </c>
      <c r="G315" s="9">
        <f t="shared" si="28"/>
        <v>214.11286071243646</v>
      </c>
      <c r="H315" s="10">
        <f>D315-SUM($E$3:E315)</f>
        <v>9624.005318601201</v>
      </c>
      <c r="I315" s="5">
        <v>27</v>
      </c>
    </row>
    <row r="316" spans="1:9">
      <c r="A316" s="13">
        <f t="shared" si="29"/>
        <v>51898</v>
      </c>
      <c r="B316" s="5">
        <v>314</v>
      </c>
      <c r="C316" s="5">
        <f t="shared" si="24"/>
        <v>314</v>
      </c>
      <c r="D316" s="8">
        <f t="shared" si="25"/>
        <v>56014.400000000001</v>
      </c>
      <c r="E316" s="9">
        <f t="shared" si="26"/>
        <v>196.06785074005919</v>
      </c>
      <c r="F316" s="9">
        <f t="shared" si="27"/>
        <v>18.04500997237724</v>
      </c>
      <c r="G316" s="9">
        <f t="shared" si="28"/>
        <v>214.11286071243643</v>
      </c>
      <c r="H316" s="10">
        <f>D316-SUM($E$3:E316)</f>
        <v>9427.9374678611421</v>
      </c>
      <c r="I316" s="5">
        <v>27</v>
      </c>
    </row>
    <row r="317" spans="1:9">
      <c r="A317" s="13">
        <f t="shared" si="29"/>
        <v>51926</v>
      </c>
      <c r="B317" s="5">
        <v>315</v>
      </c>
      <c r="C317" s="5">
        <f t="shared" si="24"/>
        <v>315</v>
      </c>
      <c r="D317" s="8">
        <f t="shared" si="25"/>
        <v>56014.400000000001</v>
      </c>
      <c r="E317" s="9">
        <f t="shared" si="26"/>
        <v>196.43547796019681</v>
      </c>
      <c r="F317" s="9">
        <f t="shared" si="27"/>
        <v>17.677382752239627</v>
      </c>
      <c r="G317" s="9">
        <f t="shared" si="28"/>
        <v>214.11286071243643</v>
      </c>
      <c r="H317" s="10">
        <f>D317-SUM($E$3:E317)</f>
        <v>9231.5019899009421</v>
      </c>
      <c r="I317" s="5">
        <v>27</v>
      </c>
    </row>
    <row r="318" spans="1:9">
      <c r="A318" s="13">
        <f t="shared" si="29"/>
        <v>51957</v>
      </c>
      <c r="B318" s="5">
        <v>316</v>
      </c>
      <c r="C318" s="5">
        <f t="shared" si="24"/>
        <v>316</v>
      </c>
      <c r="D318" s="8">
        <f t="shared" si="25"/>
        <v>56014.400000000001</v>
      </c>
      <c r="E318" s="9">
        <f t="shared" si="26"/>
        <v>196.80379448137217</v>
      </c>
      <c r="F318" s="9">
        <f t="shared" si="27"/>
        <v>17.309066231064261</v>
      </c>
      <c r="G318" s="9">
        <f t="shared" si="28"/>
        <v>214.11286071243643</v>
      </c>
      <c r="H318" s="10">
        <f>D318-SUM($E$3:E318)</f>
        <v>9034.6981954195726</v>
      </c>
      <c r="I318" s="5">
        <v>27</v>
      </c>
    </row>
    <row r="319" spans="1:9">
      <c r="A319" s="13">
        <f t="shared" si="29"/>
        <v>51987</v>
      </c>
      <c r="B319" s="5">
        <v>317</v>
      </c>
      <c r="C319" s="5">
        <f t="shared" si="24"/>
        <v>317</v>
      </c>
      <c r="D319" s="8">
        <f t="shared" si="25"/>
        <v>56014.400000000001</v>
      </c>
      <c r="E319" s="9">
        <f t="shared" si="26"/>
        <v>197.17280159602473</v>
      </c>
      <c r="F319" s="9">
        <f t="shared" si="27"/>
        <v>16.940059116411685</v>
      </c>
      <c r="G319" s="9">
        <f t="shared" si="28"/>
        <v>214.1128607124364</v>
      </c>
      <c r="H319" s="10">
        <f>D319-SUM($E$3:E319)</f>
        <v>8837.5253938235473</v>
      </c>
      <c r="I319" s="5">
        <v>27</v>
      </c>
    </row>
    <row r="320" spans="1:9">
      <c r="A320" s="13">
        <f t="shared" si="29"/>
        <v>52018</v>
      </c>
      <c r="B320" s="5">
        <v>318</v>
      </c>
      <c r="C320" s="5">
        <f t="shared" si="24"/>
        <v>318</v>
      </c>
      <c r="D320" s="8">
        <f t="shared" si="25"/>
        <v>56014.400000000001</v>
      </c>
      <c r="E320" s="9">
        <f t="shared" si="26"/>
        <v>197.54250059901727</v>
      </c>
      <c r="F320" s="9">
        <f t="shared" si="27"/>
        <v>16.570360113419145</v>
      </c>
      <c r="G320" s="9">
        <f t="shared" si="28"/>
        <v>214.11286071243643</v>
      </c>
      <c r="H320" s="10">
        <f>D320-SUM($E$3:E320)</f>
        <v>8639.9828932245291</v>
      </c>
      <c r="I320" s="5">
        <v>27</v>
      </c>
    </row>
    <row r="321" spans="1:9">
      <c r="A321" s="13">
        <f t="shared" si="29"/>
        <v>52048</v>
      </c>
      <c r="B321" s="5">
        <v>319</v>
      </c>
      <c r="C321" s="5">
        <f t="shared" si="24"/>
        <v>319</v>
      </c>
      <c r="D321" s="8">
        <f t="shared" si="25"/>
        <v>56014.400000000001</v>
      </c>
      <c r="E321" s="9">
        <f t="shared" si="26"/>
        <v>197.91289278764043</v>
      </c>
      <c r="F321" s="9">
        <f t="shared" si="27"/>
        <v>16.199967924795985</v>
      </c>
      <c r="G321" s="9">
        <f t="shared" si="28"/>
        <v>214.11286071243643</v>
      </c>
      <c r="H321" s="10">
        <f>D321-SUM($E$3:E321)</f>
        <v>8442.0700004368919</v>
      </c>
      <c r="I321" s="5">
        <v>27</v>
      </c>
    </row>
    <row r="322" spans="1:9">
      <c r="A322" s="13">
        <f t="shared" si="29"/>
        <v>52079</v>
      </c>
      <c r="B322" s="5">
        <v>320</v>
      </c>
      <c r="C322" s="5">
        <f t="shared" si="24"/>
        <v>320</v>
      </c>
      <c r="D322" s="8">
        <f t="shared" si="25"/>
        <v>56014.400000000001</v>
      </c>
      <c r="E322" s="9">
        <f t="shared" si="26"/>
        <v>198.28397946161726</v>
      </c>
      <c r="F322" s="9">
        <f t="shared" si="27"/>
        <v>15.828881250819158</v>
      </c>
      <c r="G322" s="9">
        <f t="shared" si="28"/>
        <v>214.11286071243643</v>
      </c>
      <c r="H322" s="10">
        <f>D322-SUM($E$3:E322)</f>
        <v>8243.7860209752762</v>
      </c>
      <c r="I322" s="5">
        <v>27</v>
      </c>
    </row>
    <row r="323" spans="1:9">
      <c r="A323" s="13">
        <f t="shared" si="29"/>
        <v>52110</v>
      </c>
      <c r="B323" s="5">
        <v>321</v>
      </c>
      <c r="C323" s="5">
        <f t="shared" ref="C323:C362" si="30">IF(B323&lt;=$O$7,0,C322+1)</f>
        <v>321</v>
      </c>
      <c r="D323" s="8">
        <f t="shared" ref="D323:D362" si="31">$L$3</f>
        <v>56014.400000000001</v>
      </c>
      <c r="E323" s="9">
        <f t="shared" ref="E323:E362" si="32">IF(C323=0,0,-PPMT($L$4/12,$C323,$L$5*12,D323,0))</f>
        <v>198.65576192310783</v>
      </c>
      <c r="F323" s="9">
        <f t="shared" ref="F323:F362" si="33">IF(C323=0,D323*$L$4/12,-IPMT($L$4/12,C323,$L$5*12,D323,0))</f>
        <v>15.457098789328626</v>
      </c>
      <c r="G323" s="9">
        <f t="shared" ref="G323:G362" si="34">+E323+F323</f>
        <v>214.11286071243646</v>
      </c>
      <c r="H323" s="10">
        <f>D323-SUM($E$3:E323)</f>
        <v>8045.1302590521664</v>
      </c>
      <c r="I323" s="5">
        <v>27</v>
      </c>
    </row>
    <row r="324" spans="1:9">
      <c r="A324" s="13">
        <f t="shared" ref="A324:A362" si="35">+EDATE(A323,1)</f>
        <v>52140</v>
      </c>
      <c r="B324" s="5">
        <v>322</v>
      </c>
      <c r="C324" s="5">
        <f t="shared" si="30"/>
        <v>322</v>
      </c>
      <c r="D324" s="8">
        <f t="shared" si="31"/>
        <v>56014.400000000001</v>
      </c>
      <c r="E324" s="9">
        <f t="shared" si="32"/>
        <v>199.02824147671365</v>
      </c>
      <c r="F324" s="9">
        <f t="shared" si="33"/>
        <v>15.084619235722798</v>
      </c>
      <c r="G324" s="9">
        <f t="shared" si="34"/>
        <v>214.11286071243643</v>
      </c>
      <c r="H324" s="10">
        <f>D324-SUM($E$3:E324)</f>
        <v>7846.1020175754529</v>
      </c>
      <c r="I324" s="5">
        <v>27</v>
      </c>
    </row>
    <row r="325" spans="1:9">
      <c r="A325" s="13">
        <f t="shared" si="35"/>
        <v>52171</v>
      </c>
      <c r="B325" s="5">
        <v>323</v>
      </c>
      <c r="C325" s="5">
        <f t="shared" si="30"/>
        <v>323</v>
      </c>
      <c r="D325" s="8">
        <f t="shared" si="31"/>
        <v>56014.400000000001</v>
      </c>
      <c r="E325" s="9">
        <f t="shared" si="32"/>
        <v>199.40141942948247</v>
      </c>
      <c r="F325" s="9">
        <f t="shared" si="33"/>
        <v>14.71144128295396</v>
      </c>
      <c r="G325" s="9">
        <f t="shared" si="34"/>
        <v>214.11286071243643</v>
      </c>
      <c r="H325" s="10">
        <f>D325-SUM($E$3:E325)</f>
        <v>7646.7005981459733</v>
      </c>
      <c r="I325" s="5">
        <v>27</v>
      </c>
    </row>
    <row r="326" spans="1:9">
      <c r="A326" s="13">
        <f t="shared" si="35"/>
        <v>52201</v>
      </c>
      <c r="B326" s="5">
        <v>324</v>
      </c>
      <c r="C326" s="5">
        <f t="shared" si="30"/>
        <v>324</v>
      </c>
      <c r="D326" s="8">
        <f t="shared" si="31"/>
        <v>56014.400000000001</v>
      </c>
      <c r="E326" s="9">
        <f t="shared" si="32"/>
        <v>199.77529709091274</v>
      </c>
      <c r="F326" s="9">
        <f t="shared" si="33"/>
        <v>14.33756362152368</v>
      </c>
      <c r="G326" s="9">
        <f t="shared" si="34"/>
        <v>214.11286071243643</v>
      </c>
      <c r="H326" s="10">
        <f>D326-SUM($E$3:E326)</f>
        <v>7446.9253010550601</v>
      </c>
      <c r="I326" s="5">
        <v>27</v>
      </c>
    </row>
    <row r="327" spans="1:9">
      <c r="A327" s="13">
        <f t="shared" si="35"/>
        <v>52232</v>
      </c>
      <c r="B327" s="5">
        <v>325</v>
      </c>
      <c r="C327" s="5">
        <f t="shared" si="30"/>
        <v>325</v>
      </c>
      <c r="D327" s="8">
        <f t="shared" si="31"/>
        <v>56014.400000000001</v>
      </c>
      <c r="E327" s="9">
        <f t="shared" si="32"/>
        <v>200.14987577295821</v>
      </c>
      <c r="F327" s="9">
        <f t="shared" si="33"/>
        <v>13.962984939478218</v>
      </c>
      <c r="G327" s="9">
        <f t="shared" si="34"/>
        <v>214.11286071243643</v>
      </c>
      <c r="H327" s="10">
        <f>D327-SUM($E$3:E327)</f>
        <v>7246.7754252821032</v>
      </c>
      <c r="I327" s="5">
        <v>28</v>
      </c>
    </row>
    <row r="328" spans="1:9">
      <c r="A328" s="13">
        <f t="shared" si="35"/>
        <v>52263</v>
      </c>
      <c r="B328" s="5">
        <v>326</v>
      </c>
      <c r="C328" s="5">
        <f t="shared" si="30"/>
        <v>326</v>
      </c>
      <c r="D328" s="8">
        <f t="shared" si="31"/>
        <v>56014.400000000001</v>
      </c>
      <c r="E328" s="9">
        <f t="shared" si="32"/>
        <v>200.5251567900325</v>
      </c>
      <c r="F328" s="9">
        <f t="shared" si="33"/>
        <v>13.587703922403923</v>
      </c>
      <c r="G328" s="9">
        <f t="shared" si="34"/>
        <v>214.11286071243643</v>
      </c>
      <c r="H328" s="10">
        <f>D328-SUM($E$3:E328)</f>
        <v>7046.2502684920692</v>
      </c>
      <c r="I328" s="5">
        <v>28</v>
      </c>
    </row>
    <row r="329" spans="1:9">
      <c r="A329" s="13">
        <f t="shared" si="35"/>
        <v>52291</v>
      </c>
      <c r="B329" s="5">
        <v>327</v>
      </c>
      <c r="C329" s="5">
        <f t="shared" si="30"/>
        <v>327</v>
      </c>
      <c r="D329" s="8">
        <f t="shared" si="31"/>
        <v>56014.400000000001</v>
      </c>
      <c r="E329" s="9">
        <f t="shared" si="32"/>
        <v>200.90114145901381</v>
      </c>
      <c r="F329" s="9">
        <f t="shared" si="33"/>
        <v>13.21171925342261</v>
      </c>
      <c r="G329" s="9">
        <f t="shared" si="34"/>
        <v>214.11286071243643</v>
      </c>
      <c r="H329" s="10">
        <f>D329-SUM($E$3:E329)</f>
        <v>6845.349127033056</v>
      </c>
      <c r="I329" s="5">
        <v>28</v>
      </c>
    </row>
    <row r="330" spans="1:9">
      <c r="A330" s="13">
        <f t="shared" si="35"/>
        <v>52322</v>
      </c>
      <c r="B330" s="5">
        <v>328</v>
      </c>
      <c r="C330" s="5">
        <f t="shared" si="30"/>
        <v>328</v>
      </c>
      <c r="D330" s="8">
        <f t="shared" si="31"/>
        <v>56014.400000000001</v>
      </c>
      <c r="E330" s="9">
        <f t="shared" si="32"/>
        <v>201.27783109924945</v>
      </c>
      <c r="F330" s="9">
        <f t="shared" si="33"/>
        <v>12.835029613186961</v>
      </c>
      <c r="G330" s="9">
        <f t="shared" si="34"/>
        <v>214.11286071243643</v>
      </c>
      <c r="H330" s="10">
        <f>D330-SUM($E$3:E330)</f>
        <v>6644.0712959338052</v>
      </c>
      <c r="I330" s="5">
        <v>28</v>
      </c>
    </row>
    <row r="331" spans="1:9">
      <c r="A331" s="13">
        <f t="shared" si="35"/>
        <v>52352</v>
      </c>
      <c r="B331" s="5">
        <v>329</v>
      </c>
      <c r="C331" s="5">
        <f t="shared" si="30"/>
        <v>329</v>
      </c>
      <c r="D331" s="8">
        <f t="shared" si="31"/>
        <v>56014.400000000001</v>
      </c>
      <c r="E331" s="9">
        <f t="shared" si="32"/>
        <v>201.65522703256056</v>
      </c>
      <c r="F331" s="9">
        <f t="shared" si="33"/>
        <v>12.457633679875869</v>
      </c>
      <c r="G331" s="9">
        <f t="shared" si="34"/>
        <v>214.11286071243643</v>
      </c>
      <c r="H331" s="10">
        <f>D331-SUM($E$3:E331)</f>
        <v>6442.4160689012424</v>
      </c>
      <c r="I331" s="5">
        <v>28</v>
      </c>
    </row>
    <row r="332" spans="1:9">
      <c r="A332" s="13">
        <f t="shared" si="35"/>
        <v>52383</v>
      </c>
      <c r="B332" s="5">
        <v>330</v>
      </c>
      <c r="C332" s="5">
        <f t="shared" si="30"/>
        <v>330</v>
      </c>
      <c r="D332" s="8">
        <f t="shared" si="31"/>
        <v>56014.400000000001</v>
      </c>
      <c r="E332" s="9">
        <f t="shared" si="32"/>
        <v>202.0333305832466</v>
      </c>
      <c r="F332" s="9">
        <f t="shared" si="33"/>
        <v>12.079530129189818</v>
      </c>
      <c r="G332" s="9">
        <f t="shared" si="34"/>
        <v>214.1128607124364</v>
      </c>
      <c r="H332" s="10">
        <f>D332-SUM($E$3:E332)</f>
        <v>6240.382738317996</v>
      </c>
      <c r="I332" s="5">
        <v>28</v>
      </c>
    </row>
    <row r="333" spans="1:9">
      <c r="A333" s="13">
        <f t="shared" si="35"/>
        <v>52413</v>
      </c>
      <c r="B333" s="5">
        <v>331</v>
      </c>
      <c r="C333" s="5">
        <f t="shared" si="30"/>
        <v>331</v>
      </c>
      <c r="D333" s="8">
        <f t="shared" si="31"/>
        <v>56014.400000000001</v>
      </c>
      <c r="E333" s="9">
        <f t="shared" si="32"/>
        <v>202.4121430780902</v>
      </c>
      <c r="F333" s="9">
        <f t="shared" si="33"/>
        <v>11.700717634346228</v>
      </c>
      <c r="G333" s="9">
        <f t="shared" si="34"/>
        <v>214.11286071243643</v>
      </c>
      <c r="H333" s="10">
        <f>D333-SUM($E$3:E333)</f>
        <v>6037.970595239909</v>
      </c>
      <c r="I333" s="5">
        <v>28</v>
      </c>
    </row>
    <row r="334" spans="1:9">
      <c r="A334" s="13">
        <f t="shared" si="35"/>
        <v>52444</v>
      </c>
      <c r="B334" s="5">
        <v>332</v>
      </c>
      <c r="C334" s="5">
        <f t="shared" si="30"/>
        <v>332</v>
      </c>
      <c r="D334" s="8">
        <f t="shared" si="31"/>
        <v>56014.400000000001</v>
      </c>
      <c r="E334" s="9">
        <f t="shared" si="32"/>
        <v>202.79166584636161</v>
      </c>
      <c r="F334" s="9">
        <f t="shared" si="33"/>
        <v>11.32119486607481</v>
      </c>
      <c r="G334" s="9">
        <f t="shared" si="34"/>
        <v>214.11286071243643</v>
      </c>
      <c r="H334" s="10">
        <f>D334-SUM($E$3:E334)</f>
        <v>5835.1789293935508</v>
      </c>
      <c r="I334" s="5">
        <v>28</v>
      </c>
    </row>
    <row r="335" spans="1:9">
      <c r="A335" s="13">
        <f t="shared" si="35"/>
        <v>52475</v>
      </c>
      <c r="B335" s="5">
        <v>333</v>
      </c>
      <c r="C335" s="5">
        <f t="shared" si="30"/>
        <v>333</v>
      </c>
      <c r="D335" s="8">
        <f t="shared" si="31"/>
        <v>56014.400000000001</v>
      </c>
      <c r="E335" s="9">
        <f t="shared" si="32"/>
        <v>203.17190021982353</v>
      </c>
      <c r="F335" s="9">
        <f t="shared" si="33"/>
        <v>10.940960492612883</v>
      </c>
      <c r="G335" s="9">
        <f t="shared" si="34"/>
        <v>214.1128607124364</v>
      </c>
      <c r="H335" s="10">
        <f>D335-SUM($E$3:E335)</f>
        <v>5632.0070291737284</v>
      </c>
      <c r="I335" s="5">
        <v>28</v>
      </c>
    </row>
    <row r="336" spans="1:9">
      <c r="A336" s="13">
        <f t="shared" si="35"/>
        <v>52505</v>
      </c>
      <c r="B336" s="5">
        <v>334</v>
      </c>
      <c r="C336" s="5">
        <f t="shared" si="30"/>
        <v>334</v>
      </c>
      <c r="D336" s="8">
        <f t="shared" si="31"/>
        <v>56014.400000000001</v>
      </c>
      <c r="E336" s="9">
        <f t="shared" si="32"/>
        <v>203.55284753273571</v>
      </c>
      <c r="F336" s="9">
        <f t="shared" si="33"/>
        <v>10.560013179700713</v>
      </c>
      <c r="G336" s="9">
        <f t="shared" si="34"/>
        <v>214.11286071243643</v>
      </c>
      <c r="H336" s="10">
        <f>D336-SUM($E$3:E336)</f>
        <v>5428.454181640991</v>
      </c>
      <c r="I336" s="5">
        <v>28</v>
      </c>
    </row>
    <row r="337" spans="1:9">
      <c r="A337" s="13">
        <f t="shared" si="35"/>
        <v>52536</v>
      </c>
      <c r="B337" s="5">
        <v>335</v>
      </c>
      <c r="C337" s="5">
        <f t="shared" si="30"/>
        <v>335</v>
      </c>
      <c r="D337" s="8">
        <f t="shared" si="31"/>
        <v>56014.400000000001</v>
      </c>
      <c r="E337" s="9">
        <f t="shared" si="32"/>
        <v>203.93450912185961</v>
      </c>
      <c r="F337" s="9">
        <f t="shared" si="33"/>
        <v>10.178351590576835</v>
      </c>
      <c r="G337" s="9">
        <f t="shared" si="34"/>
        <v>214.11286071243643</v>
      </c>
      <c r="H337" s="10">
        <f>D337-SUM($E$3:E337)</f>
        <v>5224.5196725191345</v>
      </c>
      <c r="I337" s="5">
        <v>28</v>
      </c>
    </row>
    <row r="338" spans="1:9">
      <c r="A338" s="13">
        <f t="shared" si="35"/>
        <v>52566</v>
      </c>
      <c r="B338" s="5">
        <v>336</v>
      </c>
      <c r="C338" s="5">
        <f t="shared" si="30"/>
        <v>336</v>
      </c>
      <c r="D338" s="8">
        <f t="shared" si="31"/>
        <v>56014.400000000001</v>
      </c>
      <c r="E338" s="9">
        <f t="shared" si="32"/>
        <v>204.31688632646308</v>
      </c>
      <c r="F338" s="9">
        <f t="shared" si="33"/>
        <v>9.7959743859733468</v>
      </c>
      <c r="G338" s="9">
        <f t="shared" si="34"/>
        <v>214.11286071243643</v>
      </c>
      <c r="H338" s="10">
        <f>D338-SUM($E$3:E338)</f>
        <v>5020.202786192669</v>
      </c>
      <c r="I338" s="5">
        <v>28</v>
      </c>
    </row>
    <row r="339" spans="1:9">
      <c r="A339" s="13">
        <f t="shared" si="35"/>
        <v>52597</v>
      </c>
      <c r="B339" s="5">
        <v>337</v>
      </c>
      <c r="C339" s="5">
        <f t="shared" si="30"/>
        <v>337</v>
      </c>
      <c r="D339" s="8">
        <f t="shared" si="31"/>
        <v>56014.400000000001</v>
      </c>
      <c r="E339" s="9">
        <f t="shared" si="32"/>
        <v>204.69998048832522</v>
      </c>
      <c r="F339" s="9">
        <f t="shared" si="33"/>
        <v>9.4128802241112304</v>
      </c>
      <c r="G339" s="9">
        <f t="shared" si="34"/>
        <v>214.11286071243646</v>
      </c>
      <c r="H339" s="10">
        <f>D339-SUM($E$3:E339)</f>
        <v>4815.5028057043455</v>
      </c>
      <c r="I339" s="5">
        <v>29</v>
      </c>
    </row>
    <row r="340" spans="1:9">
      <c r="A340" s="13">
        <f t="shared" si="35"/>
        <v>52628</v>
      </c>
      <c r="B340" s="5">
        <v>338</v>
      </c>
      <c r="C340" s="5">
        <f t="shared" si="30"/>
        <v>338</v>
      </c>
      <c r="D340" s="8">
        <f t="shared" si="31"/>
        <v>56014.400000000001</v>
      </c>
      <c r="E340" s="9">
        <f t="shared" si="32"/>
        <v>205.0837929517408</v>
      </c>
      <c r="F340" s="9">
        <f t="shared" si="33"/>
        <v>9.029067760695618</v>
      </c>
      <c r="G340" s="9">
        <f t="shared" si="34"/>
        <v>214.11286071243643</v>
      </c>
      <c r="H340" s="10">
        <f>D340-SUM($E$3:E340)</f>
        <v>4610.4190127526017</v>
      </c>
      <c r="I340" s="5">
        <v>29</v>
      </c>
    </row>
    <row r="341" spans="1:9">
      <c r="A341" s="13">
        <f t="shared" si="35"/>
        <v>52657</v>
      </c>
      <c r="B341" s="5">
        <v>339</v>
      </c>
      <c r="C341" s="5">
        <f t="shared" si="30"/>
        <v>339</v>
      </c>
      <c r="D341" s="8">
        <f t="shared" si="31"/>
        <v>56014.400000000001</v>
      </c>
      <c r="E341" s="9">
        <f t="shared" si="32"/>
        <v>205.4683250635253</v>
      </c>
      <c r="F341" s="9">
        <f t="shared" si="33"/>
        <v>8.6445356489111038</v>
      </c>
      <c r="G341" s="9">
        <f t="shared" si="34"/>
        <v>214.1128607124364</v>
      </c>
      <c r="H341" s="10">
        <f>D341-SUM($E$3:E341)</f>
        <v>4404.9506876890737</v>
      </c>
      <c r="I341" s="5">
        <v>29</v>
      </c>
    </row>
    <row r="342" spans="1:9">
      <c r="A342" s="13">
        <f t="shared" si="35"/>
        <v>52688</v>
      </c>
      <c r="B342" s="5">
        <v>340</v>
      </c>
      <c r="C342" s="5">
        <f t="shared" si="30"/>
        <v>340</v>
      </c>
      <c r="D342" s="8">
        <f t="shared" si="31"/>
        <v>56014.400000000001</v>
      </c>
      <c r="E342" s="9">
        <f t="shared" si="32"/>
        <v>205.85357817301943</v>
      </c>
      <c r="F342" s="9">
        <f t="shared" si="33"/>
        <v>8.2592825394169953</v>
      </c>
      <c r="G342" s="9">
        <f t="shared" si="34"/>
        <v>214.11286071243643</v>
      </c>
      <c r="H342" s="10">
        <f>D342-SUM($E$3:E342)</f>
        <v>4199.0971095160567</v>
      </c>
      <c r="I342" s="5">
        <v>29</v>
      </c>
    </row>
    <row r="343" spans="1:9">
      <c r="A343" s="13">
        <f t="shared" si="35"/>
        <v>52718</v>
      </c>
      <c r="B343" s="5">
        <v>341</v>
      </c>
      <c r="C343" s="5">
        <f t="shared" si="30"/>
        <v>341</v>
      </c>
      <c r="D343" s="8">
        <f t="shared" si="31"/>
        <v>56014.400000000001</v>
      </c>
      <c r="E343" s="9">
        <f t="shared" si="32"/>
        <v>206.23955363209384</v>
      </c>
      <c r="F343" s="9">
        <f t="shared" si="33"/>
        <v>7.8733070803425838</v>
      </c>
      <c r="G343" s="9">
        <f t="shared" si="34"/>
        <v>214.11286071243643</v>
      </c>
      <c r="H343" s="10">
        <f>D343-SUM($E$3:E343)</f>
        <v>3992.8575558839657</v>
      </c>
      <c r="I343" s="5">
        <v>29</v>
      </c>
    </row>
    <row r="344" spans="1:9">
      <c r="A344" s="13">
        <f t="shared" si="35"/>
        <v>52749</v>
      </c>
      <c r="B344" s="5">
        <v>342</v>
      </c>
      <c r="C344" s="5">
        <f t="shared" si="30"/>
        <v>342</v>
      </c>
      <c r="D344" s="8">
        <f t="shared" si="31"/>
        <v>56014.400000000001</v>
      </c>
      <c r="E344" s="9">
        <f t="shared" si="32"/>
        <v>206.62625279515402</v>
      </c>
      <c r="F344" s="9">
        <f t="shared" si="33"/>
        <v>7.4866079172824067</v>
      </c>
      <c r="G344" s="9">
        <f t="shared" si="34"/>
        <v>214.11286071243643</v>
      </c>
      <c r="H344" s="10">
        <f>D344-SUM($E$3:E344)</f>
        <v>3786.2313030888108</v>
      </c>
      <c r="I344" s="5">
        <v>29</v>
      </c>
    </row>
    <row r="345" spans="1:9">
      <c r="A345" s="13">
        <f t="shared" si="35"/>
        <v>52779</v>
      </c>
      <c r="B345" s="5">
        <v>343</v>
      </c>
      <c r="C345" s="5">
        <f t="shared" si="30"/>
        <v>343</v>
      </c>
      <c r="D345" s="8">
        <f t="shared" si="31"/>
        <v>56014.400000000001</v>
      </c>
      <c r="E345" s="9">
        <f t="shared" si="32"/>
        <v>207.01367701914492</v>
      </c>
      <c r="F345" s="9">
        <f t="shared" si="33"/>
        <v>7.0991836932914945</v>
      </c>
      <c r="G345" s="9">
        <f t="shared" si="34"/>
        <v>214.11286071243643</v>
      </c>
      <c r="H345" s="10">
        <f>D345-SUM($E$3:E345)</f>
        <v>3579.2176260696651</v>
      </c>
      <c r="I345" s="5">
        <v>29</v>
      </c>
    </row>
    <row r="346" spans="1:9">
      <c r="A346" s="13">
        <f t="shared" si="35"/>
        <v>52810</v>
      </c>
      <c r="B346" s="5">
        <v>344</v>
      </c>
      <c r="C346" s="5">
        <f t="shared" si="30"/>
        <v>344</v>
      </c>
      <c r="D346" s="8">
        <f t="shared" si="31"/>
        <v>56014.400000000001</v>
      </c>
      <c r="E346" s="9">
        <f t="shared" si="32"/>
        <v>207.40182766355582</v>
      </c>
      <c r="F346" s="9">
        <f t="shared" si="33"/>
        <v>6.7110330488805969</v>
      </c>
      <c r="G346" s="9">
        <f t="shared" si="34"/>
        <v>214.11286071243643</v>
      </c>
      <c r="H346" s="10">
        <f>D346-SUM($E$3:E346)</f>
        <v>3371.8157984061108</v>
      </c>
      <c r="I346" s="5">
        <v>29</v>
      </c>
    </row>
    <row r="347" spans="1:9">
      <c r="A347" s="13">
        <f t="shared" si="35"/>
        <v>52841</v>
      </c>
      <c r="B347" s="5">
        <v>345</v>
      </c>
      <c r="C347" s="5">
        <f t="shared" si="30"/>
        <v>345</v>
      </c>
      <c r="D347" s="8">
        <f t="shared" si="31"/>
        <v>56014.400000000001</v>
      </c>
      <c r="E347" s="9">
        <f t="shared" si="32"/>
        <v>207.790706090425</v>
      </c>
      <c r="F347" s="9">
        <f t="shared" si="33"/>
        <v>6.3221546220114293</v>
      </c>
      <c r="G347" s="9">
        <f t="shared" si="34"/>
        <v>214.11286071243643</v>
      </c>
      <c r="H347" s="10">
        <f>D347-SUM($E$3:E347)</f>
        <v>3164.0250923156855</v>
      </c>
      <c r="I347" s="5">
        <v>29</v>
      </c>
    </row>
    <row r="348" spans="1:9">
      <c r="A348" s="13">
        <f t="shared" si="35"/>
        <v>52871</v>
      </c>
      <c r="B348" s="5">
        <v>346</v>
      </c>
      <c r="C348" s="5">
        <f t="shared" si="30"/>
        <v>346</v>
      </c>
      <c r="D348" s="8">
        <f t="shared" si="31"/>
        <v>56014.400000000001</v>
      </c>
      <c r="E348" s="9">
        <f t="shared" si="32"/>
        <v>208.18031366434454</v>
      </c>
      <c r="F348" s="9">
        <f t="shared" si="33"/>
        <v>5.9325470480918829</v>
      </c>
      <c r="G348" s="9">
        <f t="shared" si="34"/>
        <v>214.11286071243643</v>
      </c>
      <c r="H348" s="10">
        <f>D348-SUM($E$3:E348)</f>
        <v>2955.8447786513425</v>
      </c>
      <c r="I348" s="5">
        <v>29</v>
      </c>
    </row>
    <row r="349" spans="1:9">
      <c r="A349" s="13">
        <f t="shared" si="35"/>
        <v>52902</v>
      </c>
      <c r="B349" s="5">
        <v>347</v>
      </c>
      <c r="C349" s="5">
        <f t="shared" si="30"/>
        <v>347</v>
      </c>
      <c r="D349" s="8">
        <f t="shared" si="31"/>
        <v>56014.400000000001</v>
      </c>
      <c r="E349" s="9">
        <f t="shared" si="32"/>
        <v>208.57065175246518</v>
      </c>
      <c r="F349" s="9">
        <f t="shared" si="33"/>
        <v>5.5422089599712363</v>
      </c>
      <c r="G349" s="9">
        <f t="shared" si="34"/>
        <v>214.11286071243643</v>
      </c>
      <c r="H349" s="10">
        <f>D349-SUM($E$3:E349)</f>
        <v>2747.2741268988757</v>
      </c>
      <c r="I349" s="5">
        <v>29</v>
      </c>
    </row>
    <row r="350" spans="1:9">
      <c r="A350" s="13">
        <f t="shared" si="35"/>
        <v>52932</v>
      </c>
      <c r="B350" s="5">
        <v>348</v>
      </c>
      <c r="C350" s="5">
        <f t="shared" si="30"/>
        <v>348</v>
      </c>
      <c r="D350" s="8">
        <f t="shared" si="31"/>
        <v>56014.400000000001</v>
      </c>
      <c r="E350" s="9">
        <f t="shared" si="32"/>
        <v>208.96172172450105</v>
      </c>
      <c r="F350" s="9">
        <f t="shared" si="33"/>
        <v>5.1511389879353642</v>
      </c>
      <c r="G350" s="9">
        <f t="shared" si="34"/>
        <v>214.1128607124364</v>
      </c>
      <c r="H350" s="10">
        <f>D350-SUM($E$3:E350)</f>
        <v>2538.3124051743725</v>
      </c>
      <c r="I350" s="5">
        <v>29</v>
      </c>
    </row>
    <row r="351" spans="1:9">
      <c r="A351" s="13">
        <f t="shared" si="35"/>
        <v>52963</v>
      </c>
      <c r="B351" s="5">
        <v>349</v>
      </c>
      <c r="C351" s="5">
        <f t="shared" si="30"/>
        <v>349</v>
      </c>
      <c r="D351" s="8">
        <f t="shared" si="31"/>
        <v>56014.400000000001</v>
      </c>
      <c r="E351" s="9">
        <f t="shared" si="32"/>
        <v>209.35352495273449</v>
      </c>
      <c r="F351" s="9">
        <f t="shared" si="33"/>
        <v>4.7593357597019255</v>
      </c>
      <c r="G351" s="9">
        <f t="shared" si="34"/>
        <v>214.1128607124364</v>
      </c>
      <c r="H351" s="10">
        <f>D351-SUM($E$3:E351)</f>
        <v>2328.9588802216385</v>
      </c>
      <c r="I351" s="5">
        <v>30</v>
      </c>
    </row>
    <row r="352" spans="1:9">
      <c r="A352" s="13">
        <f t="shared" si="35"/>
        <v>52994</v>
      </c>
      <c r="B352" s="5">
        <v>350</v>
      </c>
      <c r="C352" s="5">
        <f t="shared" si="30"/>
        <v>350</v>
      </c>
      <c r="D352" s="8">
        <f t="shared" si="31"/>
        <v>56014.400000000001</v>
      </c>
      <c r="E352" s="9">
        <f t="shared" si="32"/>
        <v>209.74606281202088</v>
      </c>
      <c r="F352" s="9">
        <f t="shared" si="33"/>
        <v>4.3667979004155484</v>
      </c>
      <c r="G352" s="9">
        <f t="shared" si="34"/>
        <v>214.11286071243643</v>
      </c>
      <c r="H352" s="10">
        <f>D352-SUM($E$3:E352)</f>
        <v>2119.2128174096142</v>
      </c>
      <c r="I352" s="5">
        <v>30</v>
      </c>
    </row>
    <row r="353" spans="1:9">
      <c r="A353" s="13">
        <f t="shared" si="35"/>
        <v>53022</v>
      </c>
      <c r="B353" s="5">
        <v>351</v>
      </c>
      <c r="C353" s="5">
        <f t="shared" si="30"/>
        <v>351</v>
      </c>
      <c r="D353" s="8">
        <f t="shared" si="31"/>
        <v>56014.400000000001</v>
      </c>
      <c r="E353" s="9">
        <f t="shared" si="32"/>
        <v>210.13933667979342</v>
      </c>
      <c r="F353" s="9">
        <f t="shared" si="33"/>
        <v>3.9735240326430095</v>
      </c>
      <c r="G353" s="9">
        <f t="shared" si="34"/>
        <v>214.11286071243643</v>
      </c>
      <c r="H353" s="10">
        <f>D353-SUM($E$3:E353)</f>
        <v>1909.0734807298213</v>
      </c>
      <c r="I353" s="5">
        <v>30</v>
      </c>
    </row>
    <row r="354" spans="1:9">
      <c r="A354" s="13">
        <f t="shared" si="35"/>
        <v>53053</v>
      </c>
      <c r="B354" s="5">
        <v>352</v>
      </c>
      <c r="C354" s="5">
        <f t="shared" si="30"/>
        <v>352</v>
      </c>
      <c r="D354" s="8">
        <f t="shared" si="31"/>
        <v>56014.400000000001</v>
      </c>
      <c r="E354" s="9">
        <f t="shared" si="32"/>
        <v>210.53334793606805</v>
      </c>
      <c r="F354" s="9">
        <f t="shared" si="33"/>
        <v>3.5795127763683969</v>
      </c>
      <c r="G354" s="9">
        <f t="shared" si="34"/>
        <v>214.11286071243646</v>
      </c>
      <c r="H354" s="10">
        <f>D354-SUM($E$3:E354)</f>
        <v>1698.5401327937507</v>
      </c>
      <c r="I354" s="5">
        <v>30</v>
      </c>
    </row>
    <row r="355" spans="1:9">
      <c r="A355" s="13">
        <f t="shared" si="35"/>
        <v>53083</v>
      </c>
      <c r="B355" s="5">
        <v>353</v>
      </c>
      <c r="C355" s="5">
        <f t="shared" si="30"/>
        <v>353</v>
      </c>
      <c r="D355" s="8">
        <f t="shared" si="31"/>
        <v>56014.400000000001</v>
      </c>
      <c r="E355" s="9">
        <f t="shared" si="32"/>
        <v>210.92809796344815</v>
      </c>
      <c r="F355" s="9">
        <f t="shared" si="33"/>
        <v>3.1847627489882688</v>
      </c>
      <c r="G355" s="9">
        <f t="shared" si="34"/>
        <v>214.11286071243643</v>
      </c>
      <c r="H355" s="10">
        <f>D355-SUM($E$3:E355)</f>
        <v>1487.6120348303011</v>
      </c>
      <c r="I355" s="5">
        <v>30</v>
      </c>
    </row>
    <row r="356" spans="1:9">
      <c r="A356" s="13">
        <f t="shared" si="35"/>
        <v>53114</v>
      </c>
      <c r="B356" s="5">
        <v>354</v>
      </c>
      <c r="C356" s="5">
        <f t="shared" si="30"/>
        <v>354</v>
      </c>
      <c r="D356" s="8">
        <f t="shared" si="31"/>
        <v>56014.400000000001</v>
      </c>
      <c r="E356" s="9">
        <f t="shared" si="32"/>
        <v>211.32358814712961</v>
      </c>
      <c r="F356" s="9">
        <f t="shared" si="33"/>
        <v>2.7892725653068036</v>
      </c>
      <c r="G356" s="9">
        <f t="shared" si="34"/>
        <v>214.11286071243643</v>
      </c>
      <c r="H356" s="10">
        <f>D356-SUM($E$3:E356)</f>
        <v>1276.2884466831747</v>
      </c>
      <c r="I356" s="5">
        <v>30</v>
      </c>
    </row>
    <row r="357" spans="1:9">
      <c r="A357" s="13">
        <f t="shared" si="35"/>
        <v>53144</v>
      </c>
      <c r="B357" s="5">
        <v>355</v>
      </c>
      <c r="C357" s="5">
        <f t="shared" si="30"/>
        <v>355</v>
      </c>
      <c r="D357" s="8">
        <f t="shared" si="31"/>
        <v>56014.400000000001</v>
      </c>
      <c r="E357" s="9">
        <f t="shared" si="32"/>
        <v>211.71981987490551</v>
      </c>
      <c r="F357" s="9">
        <f t="shared" si="33"/>
        <v>2.3930408375309362</v>
      </c>
      <c r="G357" s="9">
        <f t="shared" si="34"/>
        <v>214.11286071243646</v>
      </c>
      <c r="H357" s="10">
        <f>D357-SUM($E$3:E357)</f>
        <v>1064.5686268082718</v>
      </c>
      <c r="I357" s="5">
        <v>30</v>
      </c>
    </row>
    <row r="358" spans="1:9">
      <c r="A358" s="13">
        <f t="shared" si="35"/>
        <v>53175</v>
      </c>
      <c r="B358" s="5">
        <v>356</v>
      </c>
      <c r="C358" s="5">
        <f t="shared" si="30"/>
        <v>356</v>
      </c>
      <c r="D358" s="8">
        <f t="shared" si="31"/>
        <v>56014.400000000001</v>
      </c>
      <c r="E358" s="9">
        <f t="shared" si="32"/>
        <v>212.11679453717093</v>
      </c>
      <c r="F358" s="9">
        <f t="shared" si="33"/>
        <v>1.9960661752654882</v>
      </c>
      <c r="G358" s="9">
        <f t="shared" si="34"/>
        <v>214.11286071243643</v>
      </c>
      <c r="H358" s="10">
        <f>D358-SUM($E$3:E358)</f>
        <v>852.45183227110101</v>
      </c>
      <c r="I358" s="5">
        <v>30</v>
      </c>
    </row>
    <row r="359" spans="1:9">
      <c r="A359" s="13">
        <f t="shared" si="35"/>
        <v>53206</v>
      </c>
      <c r="B359" s="5">
        <v>357</v>
      </c>
      <c r="C359" s="5">
        <f t="shared" si="30"/>
        <v>357</v>
      </c>
      <c r="D359" s="8">
        <f t="shared" si="31"/>
        <v>56014.400000000001</v>
      </c>
      <c r="E359" s="9">
        <f t="shared" si="32"/>
        <v>212.51451352692811</v>
      </c>
      <c r="F359" s="9">
        <f t="shared" si="33"/>
        <v>1.5983471855082927</v>
      </c>
      <c r="G359" s="9">
        <f t="shared" si="34"/>
        <v>214.1128607124364</v>
      </c>
      <c r="H359" s="10">
        <f>D359-SUM($E$3:E359)</f>
        <v>639.93731874417426</v>
      </c>
      <c r="I359" s="5">
        <v>30</v>
      </c>
    </row>
    <row r="360" spans="1:9">
      <c r="A360" s="13">
        <f t="shared" si="35"/>
        <v>53236</v>
      </c>
      <c r="B360" s="5">
        <v>358</v>
      </c>
      <c r="C360" s="5">
        <f t="shared" si="30"/>
        <v>358</v>
      </c>
      <c r="D360" s="8">
        <f t="shared" si="31"/>
        <v>56014.400000000001</v>
      </c>
      <c r="E360" s="9">
        <f t="shared" si="32"/>
        <v>212.9129782397911</v>
      </c>
      <c r="F360" s="9">
        <f t="shared" si="33"/>
        <v>1.1998824726453023</v>
      </c>
      <c r="G360" s="9">
        <f t="shared" si="34"/>
        <v>214.1128607124364</v>
      </c>
      <c r="H360" s="10">
        <f>D360-SUM($E$3:E360)</f>
        <v>427.02434050438023</v>
      </c>
      <c r="I360" s="5">
        <v>30</v>
      </c>
    </row>
    <row r="361" spans="1:9">
      <c r="A361" s="13">
        <f t="shared" si="35"/>
        <v>53267</v>
      </c>
      <c r="B361" s="5">
        <v>359</v>
      </c>
      <c r="C361" s="5">
        <f t="shared" si="30"/>
        <v>359</v>
      </c>
      <c r="D361" s="8">
        <f t="shared" si="31"/>
        <v>56014.400000000001</v>
      </c>
      <c r="E361" s="9">
        <f t="shared" si="32"/>
        <v>213.31219007399076</v>
      </c>
      <c r="F361" s="9">
        <f t="shared" si="33"/>
        <v>0.80067063844569419</v>
      </c>
      <c r="G361" s="9">
        <f t="shared" si="34"/>
        <v>214.11286071243646</v>
      </c>
      <c r="H361" s="10">
        <f>D361-SUM($E$3:E361)</f>
        <v>213.71215043038683</v>
      </c>
      <c r="I361" s="5">
        <v>30</v>
      </c>
    </row>
    <row r="362" spans="1:9">
      <c r="A362" s="13">
        <f t="shared" si="35"/>
        <v>53297</v>
      </c>
      <c r="B362" s="5">
        <v>360</v>
      </c>
      <c r="C362" s="5">
        <f t="shared" si="30"/>
        <v>360</v>
      </c>
      <c r="D362" s="8">
        <f t="shared" si="31"/>
        <v>56014.400000000001</v>
      </c>
      <c r="E362" s="9">
        <f t="shared" si="32"/>
        <v>213.71215043037947</v>
      </c>
      <c r="F362" s="9">
        <f t="shared" si="33"/>
        <v>0.40071028205696146</v>
      </c>
      <c r="G362" s="9">
        <f t="shared" si="34"/>
        <v>214.11286071243643</v>
      </c>
      <c r="H362" s="10">
        <f>D362-SUM($E$3:E362)</f>
        <v>0</v>
      </c>
      <c r="I362" s="5">
        <v>30</v>
      </c>
    </row>
    <row r="363" spans="1:9">
      <c r="C363" s="5">
        <v>0</v>
      </c>
      <c r="D363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www.NadlanUSA.co.il</vt:lpstr>
      <vt:lpstr>Sheet1</vt:lpstr>
      <vt:lpstr>Proforma - 5 Year</vt:lpstr>
      <vt:lpstr>Auto Calc - Loan Acq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Yisrael Harris</dc:creator>
  <cp:lastModifiedBy>avigail harris</cp:lastModifiedBy>
  <cp:lastPrinted>2020-05-11T15:40:10Z</cp:lastPrinted>
  <dcterms:created xsi:type="dcterms:W3CDTF">2020-02-06T14:49:05Z</dcterms:created>
  <dcterms:modified xsi:type="dcterms:W3CDTF">2020-11-11T03:02:30Z</dcterms:modified>
</cp:coreProperties>
</file>